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tateofwa.sharepoint.com/sites/OIC-RatesFormsProviderNetworks/ReviewerFilesGeneral/Drafting Folder/Drafting/"/>
    </mc:Choice>
  </mc:AlternateContent>
  <xr:revisionPtr revIDLastSave="5779" documentId="8_{D4FD2097-34BC-410E-B940-357EF997511D}" xr6:coauthVersionLast="47" xr6:coauthVersionMax="47" xr10:uidLastSave="{C8804571-F757-483C-A0BC-B9E32F8D54C9}"/>
  <bookViews>
    <workbookView xWindow="-120" yWindow="-120" windowWidth="38640" windowHeight="15840" tabRatio="878" firstSheet="1" activeTab="1" xr2:uid="{00000000-000D-0000-FFFF-FFFF00000000}"/>
  </bookViews>
  <sheets>
    <sheet name="Lookups" sheetId="14" state="hidden" r:id="rId1"/>
    <sheet name="WA Exh 1 - Experience Data" sheetId="11" r:id="rId2"/>
    <sheet name="WA Exh 2 - Actual vs. Expected" sheetId="4" r:id="rId3"/>
    <sheet name="WA Exh 3 - Trend Analysis" sheetId="13" r:id="rId4"/>
    <sheet name="WA Exh 3 - Example" sheetId="27" r:id="rId5"/>
    <sheet name="Service MixIntensity_Example" sheetId="7" r:id="rId6"/>
    <sheet name="WA Exh 4 - Normalized Trend" sheetId="15" r:id="rId7"/>
    <sheet name="WA Exh 4 - Example" sheetId="25" r:id="rId8"/>
    <sheet name="WA Exh 5 - w1 Pool Factors" sheetId="16" r:id="rId9"/>
    <sheet name="WA Exh 6 - Actuarial Values" sheetId="24" r:id="rId10"/>
    <sheet name="WA Exh 7 - w2AggregateFactors" sheetId="22" r:id="rId11"/>
    <sheet name="WA Exh 8 - CSR Experience" sheetId="23" r:id="rId12"/>
    <sheet name="WA Exh 9 - AV and Cost-Share" sheetId="26" r:id="rId13"/>
    <sheet name="WA Exh 10 - Risk Adjustment" sheetId="9" r:id="rId14"/>
    <sheet name="WA Exh 11 - Retention" sheetId="8" r:id="rId15"/>
    <sheet name="WA Exh 12 - w2 Proj Recon" sheetId="10" r:id="rId16"/>
  </sheets>
  <definedNames>
    <definedName name="CarrierName">'WA Exh 2 - Actual vs. Expected'!$C$3</definedName>
    <definedName name="ExperYear">'WA Exh 2 - Actual vs. Expected'!$C$6</definedName>
    <definedName name="Market">'WA Exh 2 - Actual vs. Expected'!$C$4</definedName>
    <definedName name="Market_List">Lookups!$A$2:$A$3</definedName>
    <definedName name="PlanYear">'WA Exh 2 - Actual vs. Expected'!$C$5</definedName>
    <definedName name="_xlnm.Print_Area" localSheetId="2">'WA Exh 2 - Actual vs. Expected'!$A$1:$L$50</definedName>
    <definedName name="_xlnm.Print_Area" localSheetId="7">'WA Exh 4 - Example'!$A$1:$U$65</definedName>
    <definedName name="_xlnm.Print_Area" localSheetId="6">'WA Exh 4 - Normalized Trend'!$A$1:$U$64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6" l="1"/>
  <c r="H14" i="26"/>
  <c r="H15" i="26"/>
  <c r="H16" i="26"/>
  <c r="H17" i="26"/>
  <c r="H11" i="26"/>
  <c r="H12" i="26"/>
  <c r="H13" i="26"/>
  <c r="H10" i="26"/>
  <c r="J10" i="26"/>
  <c r="J11" i="26"/>
  <c r="J12" i="26"/>
  <c r="J13" i="26"/>
  <c r="J14" i="26"/>
  <c r="J15" i="26"/>
  <c r="J16" i="26"/>
  <c r="J17" i="26"/>
  <c r="L14" i="26"/>
  <c r="L15" i="26"/>
  <c r="L16" i="26"/>
  <c r="L17" i="26"/>
  <c r="K11" i="26"/>
  <c r="K12" i="26"/>
  <c r="K13" i="26"/>
  <c r="K14" i="26"/>
  <c r="K15" i="26"/>
  <c r="K16" i="26"/>
  <c r="K17" i="26"/>
  <c r="J26" i="11"/>
  <c r="A26" i="11"/>
  <c r="J9" i="11"/>
  <c r="A9" i="11"/>
  <c r="Q15" i="22"/>
  <c r="P15" i="22"/>
  <c r="O15" i="22"/>
  <c r="N15" i="22"/>
  <c r="M15" i="22"/>
  <c r="L15" i="22"/>
  <c r="K15" i="22"/>
  <c r="J15" i="22"/>
  <c r="Q14" i="22"/>
  <c r="P14" i="22"/>
  <c r="O14" i="22"/>
  <c r="N14" i="22"/>
  <c r="M14" i="22"/>
  <c r="L14" i="22"/>
  <c r="K14" i="22"/>
  <c r="J14" i="22"/>
  <c r="Q13" i="22"/>
  <c r="P13" i="22"/>
  <c r="O13" i="22"/>
  <c r="N13" i="22"/>
  <c r="M13" i="22"/>
  <c r="L13" i="22"/>
  <c r="K13" i="22"/>
  <c r="J13" i="22"/>
  <c r="Q12" i="22"/>
  <c r="P12" i="22"/>
  <c r="O12" i="22"/>
  <c r="N12" i="22"/>
  <c r="M12" i="22"/>
  <c r="L12" i="22"/>
  <c r="K12" i="22"/>
  <c r="J12" i="22"/>
  <c r="Q11" i="22"/>
  <c r="P11" i="22"/>
  <c r="O11" i="22"/>
  <c r="N11" i="22"/>
  <c r="M11" i="22"/>
  <c r="L11" i="22"/>
  <c r="K11" i="22"/>
  <c r="J11" i="22"/>
  <c r="N43" i="13"/>
  <c r="N42" i="13"/>
  <c r="N41" i="13"/>
  <c r="N40" i="13"/>
  <c r="N34" i="13"/>
  <c r="N33" i="13"/>
  <c r="N32" i="13"/>
  <c r="N31" i="13"/>
  <c r="N25" i="13"/>
  <c r="N24" i="13"/>
  <c r="N23" i="13"/>
  <c r="N22" i="13"/>
  <c r="J43" i="13"/>
  <c r="J42" i="13"/>
  <c r="J41" i="13"/>
  <c r="J40" i="13"/>
  <c r="I43" i="13"/>
  <c r="I42" i="13"/>
  <c r="I41" i="13"/>
  <c r="I40" i="13"/>
  <c r="H44" i="13"/>
  <c r="H43" i="13"/>
  <c r="H42" i="13"/>
  <c r="H41" i="13"/>
  <c r="H40" i="13"/>
  <c r="J34" i="13"/>
  <c r="J33" i="13"/>
  <c r="J32" i="13"/>
  <c r="J31" i="13"/>
  <c r="I34" i="13"/>
  <c r="I33" i="13"/>
  <c r="I32" i="13"/>
  <c r="I31" i="13"/>
  <c r="H35" i="13"/>
  <c r="H34" i="13"/>
  <c r="H33" i="13"/>
  <c r="H32" i="13"/>
  <c r="H31" i="13"/>
  <c r="J25" i="13"/>
  <c r="J24" i="13"/>
  <c r="J23" i="13"/>
  <c r="J22" i="13"/>
  <c r="I25" i="13"/>
  <c r="I24" i="13"/>
  <c r="I23" i="13"/>
  <c r="I22" i="13"/>
  <c r="H26" i="13"/>
  <c r="H25" i="13"/>
  <c r="H24" i="13"/>
  <c r="H23" i="13"/>
  <c r="H22" i="13"/>
  <c r="M44" i="27" a="1"/>
  <c r="M44" i="27" s="1"/>
  <c r="N44" i="27" s="1"/>
  <c r="J44" i="27"/>
  <c r="I44" i="27"/>
  <c r="E44" i="27"/>
  <c r="M43" i="27" a="1"/>
  <c r="M43" i="27" s="1"/>
  <c r="N43" i="27" s="1"/>
  <c r="J43" i="27"/>
  <c r="I43" i="27"/>
  <c r="E43" i="27"/>
  <c r="H43" i="27" s="1"/>
  <c r="M42" i="27" a="1"/>
  <c r="M42" i="27" s="1"/>
  <c r="J42" i="27"/>
  <c r="I42" i="27"/>
  <c r="E42" i="27"/>
  <c r="H42" i="27" s="1"/>
  <c r="M41" i="27" a="1"/>
  <c r="M41" i="27" s="1"/>
  <c r="N41" i="27" s="1"/>
  <c r="J41" i="27"/>
  <c r="I41" i="27"/>
  <c r="E41" i="27"/>
  <c r="A38" i="27"/>
  <c r="M35" i="27" a="1"/>
  <c r="M35" i="27" s="1"/>
  <c r="J35" i="27"/>
  <c r="I35" i="27"/>
  <c r="E35" i="27"/>
  <c r="H44" i="27" s="1"/>
  <c r="M34" i="27" a="1"/>
  <c r="M34" i="27" s="1"/>
  <c r="N34" i="27" s="1"/>
  <c r="J34" i="27"/>
  <c r="I34" i="27"/>
  <c r="E34" i="27"/>
  <c r="M33" i="27" a="1"/>
  <c r="M33" i="27" s="1"/>
  <c r="N33" i="27" s="1"/>
  <c r="J33" i="27"/>
  <c r="I33" i="27"/>
  <c r="E33" i="27"/>
  <c r="M32" i="27" a="1"/>
  <c r="M32" i="27" s="1"/>
  <c r="J32" i="27"/>
  <c r="I32" i="27"/>
  <c r="E32" i="27"/>
  <c r="E36" i="27" s="1"/>
  <c r="M26" i="27"/>
  <c r="N26" i="27" s="1"/>
  <c r="M26" i="27" a="1"/>
  <c r="J26" i="27"/>
  <c r="I26" i="27"/>
  <c r="E26" i="27"/>
  <c r="M25" i="27" a="1"/>
  <c r="M25" i="27" s="1"/>
  <c r="N25" i="27" s="1"/>
  <c r="J25" i="27"/>
  <c r="I25" i="27"/>
  <c r="E25" i="27"/>
  <c r="M24" i="27" a="1"/>
  <c r="M24" i="27" s="1"/>
  <c r="J24" i="27"/>
  <c r="I24" i="27"/>
  <c r="E24" i="27"/>
  <c r="H24" i="27" s="1"/>
  <c r="M23" i="27" a="1"/>
  <c r="M23" i="27" s="1"/>
  <c r="J23" i="27"/>
  <c r="I23" i="27"/>
  <c r="E23" i="27"/>
  <c r="E17" i="27"/>
  <c r="E16" i="27"/>
  <c r="E15" i="27"/>
  <c r="E14" i="27"/>
  <c r="E18" i="27" s="1"/>
  <c r="C6" i="27"/>
  <c r="C5" i="27"/>
  <c r="C4" i="27"/>
  <c r="N42" i="27" l="1"/>
  <c r="N23" i="27"/>
  <c r="N35" i="27"/>
  <c r="E27" i="27"/>
  <c r="H33" i="27"/>
  <c r="E45" i="27"/>
  <c r="H45" i="27" s="1"/>
  <c r="N24" i="27"/>
  <c r="N32" i="27"/>
  <c r="H23" i="27"/>
  <c r="H26" i="27"/>
  <c r="H36" i="27"/>
  <c r="H34" i="27"/>
  <c r="H27" i="27"/>
  <c r="H25" i="27"/>
  <c r="H41" i="27"/>
  <c r="H35" i="27"/>
  <c r="H32" i="27"/>
  <c r="AH68" i="9" l="1"/>
  <c r="AH66" i="9"/>
  <c r="AH65" i="9"/>
  <c r="AH62" i="9"/>
  <c r="AH50" i="9"/>
  <c r="AG50" i="9"/>
  <c r="AH49" i="9"/>
  <c r="AG49" i="9"/>
  <c r="AH48" i="9"/>
  <c r="AG48" i="9"/>
  <c r="AH47" i="9"/>
  <c r="AG47" i="9"/>
  <c r="AH46" i="9"/>
  <c r="AG46" i="9"/>
  <c r="AH45" i="9"/>
  <c r="AE68" i="9"/>
  <c r="AD68" i="9"/>
  <c r="AC68" i="9"/>
  <c r="AB68" i="9"/>
  <c r="AE66" i="9"/>
  <c r="AD66" i="9"/>
  <c r="AC66" i="9"/>
  <c r="AB66" i="9"/>
  <c r="AE65" i="9"/>
  <c r="AD65" i="9"/>
  <c r="AC65" i="9"/>
  <c r="AB65" i="9"/>
  <c r="AE62" i="9"/>
  <c r="AD62" i="9"/>
  <c r="AC62" i="9"/>
  <c r="AB62" i="9"/>
  <c r="Y50" i="9"/>
  <c r="Y49" i="9"/>
  <c r="Y47" i="9"/>
  <c r="Y46" i="9"/>
  <c r="Y48" i="9"/>
  <c r="AE50" i="9"/>
  <c r="AD50" i="9"/>
  <c r="AC50" i="9"/>
  <c r="AB50" i="9"/>
  <c r="AE49" i="9"/>
  <c r="AD49" i="9"/>
  <c r="AC49" i="9"/>
  <c r="AB49" i="9"/>
  <c r="AE48" i="9"/>
  <c r="AD48" i="9"/>
  <c r="AC48" i="9"/>
  <c r="AB48" i="9"/>
  <c r="AE47" i="9"/>
  <c r="AD47" i="9"/>
  <c r="AC47" i="9"/>
  <c r="AB47" i="9"/>
  <c r="AE46" i="9"/>
  <c r="AD46" i="9"/>
  <c r="AC46" i="9"/>
  <c r="AB46" i="9"/>
  <c r="AE45" i="9"/>
  <c r="AD45" i="9"/>
  <c r="AC45" i="9"/>
  <c r="AB45" i="9"/>
  <c r="W70" i="9"/>
  <c r="T70" i="9"/>
  <c r="S70" i="9"/>
  <c r="R70" i="9"/>
  <c r="Q70" i="9"/>
  <c r="W58" i="9"/>
  <c r="W59" i="9" s="1"/>
  <c r="V58" i="9"/>
  <c r="T58" i="9"/>
  <c r="T59" i="9" s="1"/>
  <c r="S58" i="9"/>
  <c r="S59" i="9" s="1"/>
  <c r="R58" i="9"/>
  <c r="R59" i="9" s="1"/>
  <c r="Q58" i="9"/>
  <c r="Q59" i="9" s="1"/>
  <c r="N58" i="9"/>
  <c r="W56" i="9"/>
  <c r="V56" i="9"/>
  <c r="T56" i="9"/>
  <c r="T57" i="9" s="1"/>
  <c r="S56" i="9"/>
  <c r="S57" i="9" s="1"/>
  <c r="R56" i="9"/>
  <c r="R57" i="9" s="1"/>
  <c r="Q56" i="9"/>
  <c r="Q57" i="9" s="1"/>
  <c r="N56" i="9"/>
  <c r="V55" i="9"/>
  <c r="AG55" i="9" s="1"/>
  <c r="N55" i="9"/>
  <c r="Y55" i="9" s="1"/>
  <c r="P45" i="9"/>
  <c r="J16" i="24"/>
  <c r="K16" i="24"/>
  <c r="I16" i="24"/>
  <c r="J10" i="24"/>
  <c r="K10" i="24"/>
  <c r="J11" i="24"/>
  <c r="K11" i="24"/>
  <c r="J12" i="24"/>
  <c r="K12" i="24"/>
  <c r="I10" i="24"/>
  <c r="I11" i="24"/>
  <c r="I12" i="24"/>
  <c r="L13" i="26"/>
  <c r="L12" i="26"/>
  <c r="L11" i="26"/>
  <c r="L10" i="26"/>
  <c r="B5" i="26"/>
  <c r="B4" i="26"/>
  <c r="B3" i="26"/>
  <c r="Z46" i="25"/>
  <c r="D46" i="25"/>
  <c r="Z45" i="25"/>
  <c r="D45" i="25"/>
  <c r="Z44" i="25"/>
  <c r="D44" i="25"/>
  <c r="Z43" i="25"/>
  <c r="D43" i="25"/>
  <c r="Z42" i="25"/>
  <c r="D42" i="25"/>
  <c r="Z41" i="25"/>
  <c r="D41" i="25"/>
  <c r="Z40" i="25"/>
  <c r="D40" i="25"/>
  <c r="Z39" i="25"/>
  <c r="D39" i="25"/>
  <c r="Z38" i="25"/>
  <c r="D38" i="25"/>
  <c r="Z37" i="25"/>
  <c r="D37" i="25"/>
  <c r="Z36" i="25"/>
  <c r="N36" i="25"/>
  <c r="N37" i="25" s="1"/>
  <c r="N38" i="25" s="1"/>
  <c r="N39" i="25" s="1"/>
  <c r="N40" i="25" s="1"/>
  <c r="N41" i="25" s="1"/>
  <c r="N42" i="25" s="1"/>
  <c r="N43" i="25" s="1"/>
  <c r="N44" i="25" s="1"/>
  <c r="N45" i="25" s="1"/>
  <c r="N46" i="25" s="1"/>
  <c r="M36" i="25"/>
  <c r="L36" i="25"/>
  <c r="L37" i="25" s="1"/>
  <c r="L38" i="25" s="1"/>
  <c r="L39" i="25" s="1"/>
  <c r="L40" i="25" s="1"/>
  <c r="L41" i="25" s="1"/>
  <c r="L42" i="25" s="1"/>
  <c r="L43" i="25" s="1"/>
  <c r="L44" i="25" s="1"/>
  <c r="L45" i="25" s="1"/>
  <c r="L46" i="25" s="1"/>
  <c r="K36" i="25"/>
  <c r="K37" i="25" s="1"/>
  <c r="K38" i="25" s="1"/>
  <c r="D36" i="25"/>
  <c r="Z35" i="25"/>
  <c r="O35" i="25"/>
  <c r="D35" i="25"/>
  <c r="Z34" i="25"/>
  <c r="D34" i="25"/>
  <c r="Z33" i="25"/>
  <c r="D33" i="25"/>
  <c r="Z32" i="25"/>
  <c r="D32" i="25"/>
  <c r="Z31" i="25"/>
  <c r="D31" i="25"/>
  <c r="Z30" i="25"/>
  <c r="D30" i="25"/>
  <c r="Z29" i="25"/>
  <c r="D29" i="25"/>
  <c r="Z28" i="25"/>
  <c r="D28" i="25"/>
  <c r="Z27" i="25"/>
  <c r="D27" i="25"/>
  <c r="Z26" i="25"/>
  <c r="D26" i="25"/>
  <c r="Z25" i="25"/>
  <c r="D25" i="25"/>
  <c r="Z24" i="25"/>
  <c r="N24" i="25"/>
  <c r="N25" i="25" s="1"/>
  <c r="N26" i="25" s="1"/>
  <c r="N27" i="25" s="1"/>
  <c r="N28" i="25" s="1"/>
  <c r="N29" i="25" s="1"/>
  <c r="N30" i="25" s="1"/>
  <c r="N31" i="25" s="1"/>
  <c r="N32" i="25" s="1"/>
  <c r="N33" i="25" s="1"/>
  <c r="N34" i="25" s="1"/>
  <c r="M24" i="25"/>
  <c r="M25" i="25" s="1"/>
  <c r="M26" i="25" s="1"/>
  <c r="M27" i="25" s="1"/>
  <c r="M28" i="25" s="1"/>
  <c r="M29" i="25" s="1"/>
  <c r="M30" i="25" s="1"/>
  <c r="M31" i="25" s="1"/>
  <c r="M32" i="25" s="1"/>
  <c r="M33" i="25" s="1"/>
  <c r="M34" i="25" s="1"/>
  <c r="L24" i="25"/>
  <c r="K24" i="25"/>
  <c r="K25" i="25" s="1"/>
  <c r="D24" i="25"/>
  <c r="Z23" i="25"/>
  <c r="Y23" i="25"/>
  <c r="Y24" i="25" s="1"/>
  <c r="O23" i="25"/>
  <c r="D23" i="25"/>
  <c r="Z22" i="25"/>
  <c r="O22" i="25"/>
  <c r="D22" i="25"/>
  <c r="Z21" i="25"/>
  <c r="O21" i="25"/>
  <c r="D21" i="25"/>
  <c r="Z20" i="25"/>
  <c r="O20" i="25"/>
  <c r="D20" i="25"/>
  <c r="Z19" i="25"/>
  <c r="O19" i="25"/>
  <c r="D19" i="25"/>
  <c r="Z18" i="25"/>
  <c r="O18" i="25"/>
  <c r="D18" i="25"/>
  <c r="Z17" i="25"/>
  <c r="O17" i="25"/>
  <c r="D17" i="25"/>
  <c r="Z16" i="25"/>
  <c r="O16" i="25"/>
  <c r="D16" i="25"/>
  <c r="Z15" i="25"/>
  <c r="O15" i="25"/>
  <c r="D15" i="25"/>
  <c r="Z14" i="25"/>
  <c r="O14" i="25"/>
  <c r="D14" i="25"/>
  <c r="Z13" i="25"/>
  <c r="O13" i="25"/>
  <c r="D13" i="25"/>
  <c r="Z12" i="25"/>
  <c r="Y12" i="25"/>
  <c r="Y13" i="25" s="1"/>
  <c r="O12" i="25"/>
  <c r="D12" i="25"/>
  <c r="Z11" i="25"/>
  <c r="O11" i="25"/>
  <c r="D11" i="25"/>
  <c r="B22" i="22"/>
  <c r="AH36" i="9"/>
  <c r="AH34" i="9"/>
  <c r="AH33" i="9"/>
  <c r="AE36" i="9"/>
  <c r="AD36" i="9"/>
  <c r="AC36" i="9"/>
  <c r="AB36" i="9"/>
  <c r="AE34" i="9"/>
  <c r="AD34" i="9"/>
  <c r="AC34" i="9"/>
  <c r="AB34" i="9"/>
  <c r="AE33" i="9"/>
  <c r="AD33" i="9"/>
  <c r="AC33" i="9"/>
  <c r="AB33" i="9"/>
  <c r="AH30" i="9"/>
  <c r="AE30" i="9"/>
  <c r="AD30" i="9"/>
  <c r="AC30" i="9"/>
  <c r="AB30" i="9"/>
  <c r="Y18" i="9"/>
  <c r="Y17" i="9"/>
  <c r="Y16" i="9"/>
  <c r="Y15" i="9"/>
  <c r="Y14" i="9"/>
  <c r="AE18" i="9"/>
  <c r="AD18" i="9"/>
  <c r="AC18" i="9"/>
  <c r="AB18" i="9"/>
  <c r="AE17" i="9"/>
  <c r="AD17" i="9"/>
  <c r="AC17" i="9"/>
  <c r="AB17" i="9"/>
  <c r="AE16" i="9"/>
  <c r="AD16" i="9"/>
  <c r="AC16" i="9"/>
  <c r="AB16" i="9"/>
  <c r="AE15" i="9"/>
  <c r="AD15" i="9"/>
  <c r="AC15" i="9"/>
  <c r="AB15" i="9"/>
  <c r="AE14" i="9"/>
  <c r="AD14" i="9"/>
  <c r="AC14" i="9"/>
  <c r="AB14" i="9"/>
  <c r="AH18" i="9"/>
  <c r="AG18" i="9"/>
  <c r="AH17" i="9"/>
  <c r="AG17" i="9"/>
  <c r="AH16" i="9"/>
  <c r="AG16" i="9"/>
  <c r="AH15" i="9"/>
  <c r="AG15" i="9"/>
  <c r="AH14" i="9"/>
  <c r="AG14" i="9"/>
  <c r="AH13" i="9"/>
  <c r="AE13" i="9"/>
  <c r="AD13" i="9"/>
  <c r="AC13" i="9"/>
  <c r="AB13" i="9"/>
  <c r="AG38" i="8"/>
  <c r="AG35" i="8"/>
  <c r="AF32" i="8"/>
  <c r="AG29" i="8"/>
  <c r="AG28" i="8"/>
  <c r="AG27" i="8"/>
  <c r="AG26" i="8"/>
  <c r="AG25" i="8"/>
  <c r="AF24" i="8"/>
  <c r="AF23" i="8"/>
  <c r="AF22" i="8"/>
  <c r="AF21" i="8"/>
  <c r="AG17" i="8"/>
  <c r="AG16" i="8"/>
  <c r="AF15" i="8"/>
  <c r="AG14" i="8"/>
  <c r="AG13" i="8"/>
  <c r="AE38" i="8"/>
  <c r="AE35" i="8"/>
  <c r="AD32" i="8"/>
  <c r="AE29" i="8"/>
  <c r="AE28" i="8"/>
  <c r="AE27" i="8"/>
  <c r="AE26" i="8"/>
  <c r="AE25" i="8"/>
  <c r="AD24" i="8"/>
  <c r="AD23" i="8"/>
  <c r="AD22" i="8"/>
  <c r="AD21" i="8"/>
  <c r="AE17" i="8"/>
  <c r="AE16" i="8"/>
  <c r="AD15" i="8"/>
  <c r="AE14" i="8"/>
  <c r="AE13" i="8"/>
  <c r="AC38" i="8"/>
  <c r="AC35" i="8"/>
  <c r="AB32" i="8"/>
  <c r="AC29" i="8"/>
  <c r="AC28" i="8"/>
  <c r="AC27" i="8"/>
  <c r="AC26" i="8"/>
  <c r="AC25" i="8"/>
  <c r="AB24" i="8"/>
  <c r="AB23" i="8"/>
  <c r="AB22" i="8"/>
  <c r="AB21" i="8"/>
  <c r="AC17" i="8"/>
  <c r="AC16" i="8"/>
  <c r="AB15" i="8"/>
  <c r="AC14" i="8"/>
  <c r="AC13" i="8"/>
  <c r="AA38" i="8"/>
  <c r="AA35" i="8"/>
  <c r="AA29" i="8"/>
  <c r="AA28" i="8"/>
  <c r="AA27" i="8"/>
  <c r="AA26" i="8"/>
  <c r="AA25" i="8"/>
  <c r="AA17" i="8"/>
  <c r="AA16" i="8"/>
  <c r="AA14" i="8"/>
  <c r="AA13" i="8"/>
  <c r="Z32" i="8"/>
  <c r="Z24" i="8"/>
  <c r="Z23" i="8"/>
  <c r="Z22" i="8"/>
  <c r="Z21" i="8"/>
  <c r="Z15" i="8"/>
  <c r="Y38" i="8"/>
  <c r="W38" i="8"/>
  <c r="U38" i="8"/>
  <c r="S38" i="8"/>
  <c r="Y35" i="8"/>
  <c r="W35" i="8"/>
  <c r="U35" i="8"/>
  <c r="S35" i="8"/>
  <c r="X32" i="8"/>
  <c r="V32" i="8"/>
  <c r="T32" i="8"/>
  <c r="R32" i="8"/>
  <c r="Y29" i="8"/>
  <c r="W29" i="8"/>
  <c r="U29" i="8"/>
  <c r="S29" i="8"/>
  <c r="Y28" i="8"/>
  <c r="W28" i="8"/>
  <c r="U28" i="8"/>
  <c r="S28" i="8"/>
  <c r="Y27" i="8"/>
  <c r="W27" i="8"/>
  <c r="U27" i="8"/>
  <c r="S27" i="8"/>
  <c r="Y26" i="8"/>
  <c r="W26" i="8"/>
  <c r="U26" i="8"/>
  <c r="S26" i="8"/>
  <c r="Y25" i="8"/>
  <c r="W25" i="8"/>
  <c r="U25" i="8"/>
  <c r="S25" i="8"/>
  <c r="X24" i="8"/>
  <c r="V24" i="8"/>
  <c r="T24" i="8"/>
  <c r="R24" i="8"/>
  <c r="X23" i="8"/>
  <c r="V23" i="8"/>
  <c r="T23" i="8"/>
  <c r="R23" i="8"/>
  <c r="X22" i="8"/>
  <c r="V22" i="8"/>
  <c r="T22" i="8"/>
  <c r="R22" i="8"/>
  <c r="X21" i="8"/>
  <c r="V21" i="8"/>
  <c r="T21" i="8"/>
  <c r="R21" i="8"/>
  <c r="Y17" i="8"/>
  <c r="Y16" i="8"/>
  <c r="X15" i="8"/>
  <c r="Y14" i="8"/>
  <c r="Y13" i="8"/>
  <c r="W17" i="8"/>
  <c r="W16" i="8"/>
  <c r="V15" i="8"/>
  <c r="W14" i="8"/>
  <c r="W13" i="8"/>
  <c r="U17" i="8"/>
  <c r="U16" i="8"/>
  <c r="T15" i="8"/>
  <c r="U14" i="8"/>
  <c r="U13" i="8"/>
  <c r="S17" i="8"/>
  <c r="S16" i="8"/>
  <c r="S14" i="8"/>
  <c r="S13" i="8"/>
  <c r="R15" i="8"/>
  <c r="W57" i="9" l="1"/>
  <c r="AA24" i="25"/>
  <c r="AC35" i="25"/>
  <c r="AC46" i="25"/>
  <c r="AC22" i="25"/>
  <c r="O36" i="25"/>
  <c r="M37" i="25"/>
  <c r="M38" i="25" s="1"/>
  <c r="M39" i="25" s="1"/>
  <c r="M40" i="25" s="1"/>
  <c r="M41" i="25" s="1"/>
  <c r="M42" i="25" s="1"/>
  <c r="M43" i="25" s="1"/>
  <c r="M44" i="25" s="1"/>
  <c r="M45" i="25" s="1"/>
  <c r="M46" i="25" s="1"/>
  <c r="AA23" i="25"/>
  <c r="AA12" i="25"/>
  <c r="AC23" i="25"/>
  <c r="Z51" i="25"/>
  <c r="Z52" i="25"/>
  <c r="AC34" i="25"/>
  <c r="K26" i="25"/>
  <c r="L25" i="25"/>
  <c r="L26" i="25" s="1"/>
  <c r="L27" i="25" s="1"/>
  <c r="L28" i="25" s="1"/>
  <c r="L29" i="25" s="1"/>
  <c r="L30" i="25" s="1"/>
  <c r="L31" i="25" s="1"/>
  <c r="L32" i="25" s="1"/>
  <c r="L33" i="25" s="1"/>
  <c r="L34" i="25" s="1"/>
  <c r="O24" i="25"/>
  <c r="K39" i="25"/>
  <c r="O38" i="25"/>
  <c r="Y14" i="25"/>
  <c r="AA13" i="25"/>
  <c r="Y25" i="25"/>
  <c r="Z50" i="25"/>
  <c r="AA11" i="25"/>
  <c r="N18" i="22"/>
  <c r="N19" i="22"/>
  <c r="N20" i="22"/>
  <c r="N21" i="22"/>
  <c r="N23" i="22"/>
  <c r="N24" i="22"/>
  <c r="N10" i="22"/>
  <c r="J21" i="22"/>
  <c r="K21" i="22"/>
  <c r="L21" i="22"/>
  <c r="M21" i="22"/>
  <c r="O21" i="22"/>
  <c r="P21" i="22"/>
  <c r="Q21" i="22"/>
  <c r="J20" i="22"/>
  <c r="K20" i="22"/>
  <c r="L20" i="22"/>
  <c r="M20" i="22"/>
  <c r="O20" i="22"/>
  <c r="P20" i="22"/>
  <c r="Q20" i="22"/>
  <c r="J19" i="22"/>
  <c r="K19" i="22"/>
  <c r="L19" i="22"/>
  <c r="M19" i="22"/>
  <c r="O19" i="22"/>
  <c r="P19" i="22"/>
  <c r="Q19" i="22"/>
  <c r="C22" i="22"/>
  <c r="D22" i="22"/>
  <c r="E22" i="22"/>
  <c r="F22" i="22"/>
  <c r="J22" i="22" s="1"/>
  <c r="G22" i="22"/>
  <c r="K22" i="22" s="1"/>
  <c r="H22" i="22"/>
  <c r="I22" i="22"/>
  <c r="M24" i="13" a="1"/>
  <c r="M24" i="13" s="1"/>
  <c r="B5" i="24"/>
  <c r="B4" i="24"/>
  <c r="B3" i="24"/>
  <c r="M12" i="23"/>
  <c r="K12" i="23"/>
  <c r="I12" i="23"/>
  <c r="M11" i="23"/>
  <c r="K11" i="23"/>
  <c r="I11" i="23"/>
  <c r="M10" i="23"/>
  <c r="K10" i="23"/>
  <c r="I10" i="23"/>
  <c r="B5" i="23"/>
  <c r="B4" i="23"/>
  <c r="B3" i="23"/>
  <c r="Q24" i="22"/>
  <c r="P24" i="22"/>
  <c r="O24" i="22"/>
  <c r="M24" i="22"/>
  <c r="L24" i="22"/>
  <c r="K24" i="22"/>
  <c r="J24" i="22"/>
  <c r="Q23" i="22"/>
  <c r="P23" i="22"/>
  <c r="O23" i="22"/>
  <c r="M23" i="22"/>
  <c r="L23" i="22"/>
  <c r="K23" i="22"/>
  <c r="J23" i="22"/>
  <c r="Q18" i="22"/>
  <c r="P18" i="22"/>
  <c r="O18" i="22"/>
  <c r="M18" i="22"/>
  <c r="L18" i="22"/>
  <c r="K18" i="22"/>
  <c r="J18" i="22"/>
  <c r="Q10" i="22"/>
  <c r="P10" i="22"/>
  <c r="O10" i="22"/>
  <c r="M10" i="22"/>
  <c r="L10" i="22"/>
  <c r="K10" i="22"/>
  <c r="J10" i="22"/>
  <c r="I9" i="22"/>
  <c r="H9" i="22" s="1"/>
  <c r="M9" i="22" s="1"/>
  <c r="B5" i="22"/>
  <c r="B4" i="22"/>
  <c r="B3" i="22"/>
  <c r="O25" i="25" l="1"/>
  <c r="O37" i="25"/>
  <c r="Y15" i="25"/>
  <c r="AA14" i="25"/>
  <c r="Y26" i="25"/>
  <c r="AA25" i="25"/>
  <c r="K27" i="25"/>
  <c r="O26" i="25"/>
  <c r="O39" i="25"/>
  <c r="K40" i="25"/>
  <c r="L22" i="22"/>
  <c r="M22" i="22"/>
  <c r="N22" i="22"/>
  <c r="Q22" i="22"/>
  <c r="P22" i="22"/>
  <c r="O22" i="22"/>
  <c r="G9" i="22"/>
  <c r="K28" i="25" l="1"/>
  <c r="O27" i="25"/>
  <c r="O40" i="25"/>
  <c r="K41" i="25"/>
  <c r="Y16" i="25"/>
  <c r="AA15" i="25"/>
  <c r="Y27" i="25"/>
  <c r="AA26" i="25"/>
  <c r="L9" i="22"/>
  <c r="F9" i="22"/>
  <c r="Y17" i="25" l="1"/>
  <c r="AA16" i="25"/>
  <c r="K29" i="25"/>
  <c r="O28" i="25"/>
  <c r="K42" i="25"/>
  <c r="O41" i="25"/>
  <c r="AA27" i="25"/>
  <c r="Y28" i="25"/>
  <c r="K9" i="22"/>
  <c r="E9" i="22"/>
  <c r="J9" i="22" s="1"/>
  <c r="O29" i="25" l="1"/>
  <c r="K30" i="25"/>
  <c r="K43" i="25"/>
  <c r="O42" i="25"/>
  <c r="Y29" i="25"/>
  <c r="AA28" i="25"/>
  <c r="AA17" i="25"/>
  <c r="Y18" i="25"/>
  <c r="H40" i="7"/>
  <c r="M44" i="7"/>
  <c r="J44" i="7"/>
  <c r="M43" i="7"/>
  <c r="J43" i="7"/>
  <c r="B45" i="7"/>
  <c r="C43" i="7" s="1"/>
  <c r="D44" i="7"/>
  <c r="F44" i="7" s="1"/>
  <c r="D43" i="7"/>
  <c r="F43" i="7" s="1"/>
  <c r="H30" i="7"/>
  <c r="H20" i="7"/>
  <c r="A37" i="13"/>
  <c r="H14" i="16"/>
  <c r="I14" i="16"/>
  <c r="H15" i="16"/>
  <c r="I15" i="16"/>
  <c r="L23" i="15"/>
  <c r="L24" i="15" s="1"/>
  <c r="L25" i="15" s="1"/>
  <c r="L26" i="15" s="1"/>
  <c r="L27" i="15" s="1"/>
  <c r="L28" i="15" s="1"/>
  <c r="L29" i="15" s="1"/>
  <c r="L30" i="15" s="1"/>
  <c r="L31" i="15" s="1"/>
  <c r="L32" i="15" s="1"/>
  <c r="L33" i="15" s="1"/>
  <c r="M23" i="15"/>
  <c r="M24" i="15" s="1"/>
  <c r="M25" i="15" s="1"/>
  <c r="M26" i="15" s="1"/>
  <c r="M27" i="15" s="1"/>
  <c r="M28" i="15" s="1"/>
  <c r="M29" i="15" s="1"/>
  <c r="M30" i="15" s="1"/>
  <c r="M31" i="15" s="1"/>
  <c r="M32" i="15" s="1"/>
  <c r="M33" i="15" s="1"/>
  <c r="N23" i="15"/>
  <c r="N24" i="15" s="1"/>
  <c r="N25" i="15" s="1"/>
  <c r="N26" i="15" s="1"/>
  <c r="N27" i="15" s="1"/>
  <c r="N28" i="15" s="1"/>
  <c r="N29" i="15" s="1"/>
  <c r="N30" i="15" s="1"/>
  <c r="N31" i="15" s="1"/>
  <c r="N32" i="15" s="1"/>
  <c r="N33" i="15" s="1"/>
  <c r="L35" i="15"/>
  <c r="L36" i="15" s="1"/>
  <c r="L37" i="15" s="1"/>
  <c r="L38" i="15" s="1"/>
  <c r="L39" i="15" s="1"/>
  <c r="L40" i="15" s="1"/>
  <c r="L41" i="15" s="1"/>
  <c r="L42" i="15" s="1"/>
  <c r="L43" i="15" s="1"/>
  <c r="L44" i="15" s="1"/>
  <c r="L45" i="15" s="1"/>
  <c r="M35" i="15"/>
  <c r="M36" i="15" s="1"/>
  <c r="M37" i="15" s="1"/>
  <c r="M38" i="15" s="1"/>
  <c r="M39" i="15" s="1"/>
  <c r="M40" i="15" s="1"/>
  <c r="M41" i="15" s="1"/>
  <c r="M42" i="15" s="1"/>
  <c r="M43" i="15" s="1"/>
  <c r="M44" i="15" s="1"/>
  <c r="M45" i="15" s="1"/>
  <c r="N35" i="15"/>
  <c r="N36" i="15" s="1"/>
  <c r="N37" i="15" s="1"/>
  <c r="N38" i="15" s="1"/>
  <c r="N39" i="15" s="1"/>
  <c r="N40" i="15" s="1"/>
  <c r="N41" i="15" s="1"/>
  <c r="N42" i="15" s="1"/>
  <c r="N43" i="15" s="1"/>
  <c r="N44" i="15" s="1"/>
  <c r="N45" i="15" s="1"/>
  <c r="K35" i="15"/>
  <c r="K36" i="15" s="1"/>
  <c r="K37" i="15" s="1"/>
  <c r="K38" i="15" s="1"/>
  <c r="K39" i="15" s="1"/>
  <c r="K40" i="15" s="1"/>
  <c r="K41" i="15" s="1"/>
  <c r="K42" i="15" s="1"/>
  <c r="K43" i="15" s="1"/>
  <c r="K44" i="15" s="1"/>
  <c r="K45" i="15" s="1"/>
  <c r="K23" i="15"/>
  <c r="K24" i="15" s="1"/>
  <c r="K25" i="15" s="1"/>
  <c r="K26" i="15" s="1"/>
  <c r="K27" i="15" s="1"/>
  <c r="K28" i="15" s="1"/>
  <c r="K29" i="15" s="1"/>
  <c r="K30" i="15" s="1"/>
  <c r="K31" i="15" s="1"/>
  <c r="K32" i="15" s="1"/>
  <c r="K33" i="15" s="1"/>
  <c r="B9" i="10"/>
  <c r="N9" i="9"/>
  <c r="O43" i="25" l="1"/>
  <c r="K44" i="25"/>
  <c r="AA29" i="25"/>
  <c r="Y30" i="25"/>
  <c r="Y19" i="25"/>
  <c r="AA18" i="25"/>
  <c r="O30" i="25"/>
  <c r="K31" i="25"/>
  <c r="F45" i="7"/>
  <c r="C44" i="7"/>
  <c r="E45" i="7" s="1"/>
  <c r="I19" i="16"/>
  <c r="I18" i="16"/>
  <c r="I17" i="16"/>
  <c r="I16" i="16"/>
  <c r="H19" i="16"/>
  <c r="H18" i="16"/>
  <c r="H17" i="16"/>
  <c r="H16" i="16"/>
  <c r="C11" i="16"/>
  <c r="I11" i="16"/>
  <c r="H11" i="16"/>
  <c r="G11" i="16"/>
  <c r="F11" i="16"/>
  <c r="E11" i="16"/>
  <c r="D11" i="16"/>
  <c r="B11" i="16"/>
  <c r="B5" i="16"/>
  <c r="B4" i="16"/>
  <c r="B3" i="16"/>
  <c r="B3" i="10"/>
  <c r="B4" i="10"/>
  <c r="B5" i="10"/>
  <c r="B4" i="9"/>
  <c r="B5" i="9"/>
  <c r="B3" i="9"/>
  <c r="B3" i="8"/>
  <c r="B4" i="8"/>
  <c r="B5" i="8"/>
  <c r="E3" i="11"/>
  <c r="E4" i="11"/>
  <c r="E5" i="11"/>
  <c r="Z45" i="15"/>
  <c r="D45" i="15"/>
  <c r="Z44" i="15"/>
  <c r="D44" i="15"/>
  <c r="Z43" i="15"/>
  <c r="D43" i="15"/>
  <c r="Z42" i="15"/>
  <c r="D42" i="15"/>
  <c r="Z41" i="15"/>
  <c r="D41" i="15"/>
  <c r="Z40" i="15"/>
  <c r="D40" i="15"/>
  <c r="Z39" i="15"/>
  <c r="D39" i="15"/>
  <c r="Z38" i="15"/>
  <c r="D38" i="15"/>
  <c r="Z37" i="15"/>
  <c r="D37" i="15"/>
  <c r="Z36" i="15"/>
  <c r="D36" i="15"/>
  <c r="Z35" i="15"/>
  <c r="D35" i="15"/>
  <c r="Z34" i="15"/>
  <c r="D34" i="15"/>
  <c r="Z33" i="15"/>
  <c r="D33" i="15"/>
  <c r="Z32" i="15"/>
  <c r="D32" i="15"/>
  <c r="Z31" i="15"/>
  <c r="D31" i="15"/>
  <c r="Z30" i="15"/>
  <c r="D30" i="15"/>
  <c r="Z29" i="15"/>
  <c r="D29" i="15"/>
  <c r="Z28" i="15"/>
  <c r="D28" i="15"/>
  <c r="Z27" i="15"/>
  <c r="D27" i="15"/>
  <c r="Z26" i="15"/>
  <c r="D26" i="15"/>
  <c r="Z25" i="15"/>
  <c r="D25" i="15"/>
  <c r="Z24" i="15"/>
  <c r="D24" i="15"/>
  <c r="Z23" i="15"/>
  <c r="D23" i="15"/>
  <c r="Z22" i="15"/>
  <c r="Y22" i="15"/>
  <c r="D22" i="15"/>
  <c r="Z21" i="15"/>
  <c r="D21" i="15"/>
  <c r="Z20" i="15"/>
  <c r="D20" i="15"/>
  <c r="Z19" i="15"/>
  <c r="D19" i="15"/>
  <c r="Z18" i="15"/>
  <c r="D18" i="15"/>
  <c r="Z17" i="15"/>
  <c r="D17" i="15"/>
  <c r="Z16" i="15"/>
  <c r="D16" i="15"/>
  <c r="Z15" i="15"/>
  <c r="D15" i="15"/>
  <c r="Z14" i="15"/>
  <c r="D14" i="15"/>
  <c r="Z13" i="15"/>
  <c r="D13" i="15"/>
  <c r="Z12" i="15"/>
  <c r="D12" i="15"/>
  <c r="Z11" i="15"/>
  <c r="Y11" i="15"/>
  <c r="D11" i="15"/>
  <c r="Z10" i="15"/>
  <c r="D10" i="15"/>
  <c r="Y31" i="25" l="1"/>
  <c r="AA30" i="25"/>
  <c r="Y20" i="25"/>
  <c r="AA19" i="25"/>
  <c r="O44" i="25"/>
  <c r="K45" i="25"/>
  <c r="K32" i="25"/>
  <c r="O31" i="25"/>
  <c r="D45" i="7"/>
  <c r="C45" i="7"/>
  <c r="H12" i="16"/>
  <c r="Z51" i="15"/>
  <c r="Z50" i="15"/>
  <c r="Z49" i="15"/>
  <c r="O12" i="15"/>
  <c r="O14" i="15"/>
  <c r="O16" i="15"/>
  <c r="O20" i="15"/>
  <c r="O22" i="15"/>
  <c r="O24" i="15"/>
  <c r="O26" i="15"/>
  <c r="O28" i="15"/>
  <c r="O30" i="15"/>
  <c r="O32" i="15"/>
  <c r="O34" i="15"/>
  <c r="O36" i="15"/>
  <c r="O38" i="15"/>
  <c r="O40" i="15"/>
  <c r="O42" i="15"/>
  <c r="O44" i="15"/>
  <c r="O10" i="15"/>
  <c r="O18" i="15"/>
  <c r="O11" i="15"/>
  <c r="O13" i="15"/>
  <c r="O15" i="15"/>
  <c r="O17" i="15"/>
  <c r="O19" i="15"/>
  <c r="O21" i="15"/>
  <c r="O23" i="15"/>
  <c r="O25" i="15"/>
  <c r="O27" i="15"/>
  <c r="O29" i="15"/>
  <c r="O31" i="15"/>
  <c r="O33" i="15"/>
  <c r="O35" i="15"/>
  <c r="O37" i="15"/>
  <c r="O39" i="15"/>
  <c r="O41" i="15"/>
  <c r="O43" i="15"/>
  <c r="O45" i="15"/>
  <c r="I12" i="16"/>
  <c r="AC34" i="15"/>
  <c r="AA10" i="15"/>
  <c r="AC33" i="15"/>
  <c r="AC45" i="15"/>
  <c r="AC22" i="15"/>
  <c r="AA11" i="15"/>
  <c r="AC21" i="15"/>
  <c r="Y23" i="15"/>
  <c r="Y12" i="15"/>
  <c r="AA22" i="15"/>
  <c r="K46" i="25" l="1"/>
  <c r="O46" i="25" s="1"/>
  <c r="O45" i="25"/>
  <c r="Y21" i="25"/>
  <c r="AA20" i="25"/>
  <c r="AA31" i="25"/>
  <c r="Y32" i="25"/>
  <c r="O32" i="25"/>
  <c r="K33" i="25"/>
  <c r="AA12" i="15"/>
  <c r="Y13" i="15"/>
  <c r="Y24" i="15"/>
  <c r="AA23" i="15"/>
  <c r="Y33" i="25" l="1"/>
  <c r="AA32" i="25"/>
  <c r="Y22" i="25"/>
  <c r="AA21" i="25"/>
  <c r="K34" i="25"/>
  <c r="O34" i="25" s="1"/>
  <c r="O33" i="25"/>
  <c r="AA24" i="15"/>
  <c r="Y25" i="15"/>
  <c r="AA13" i="15"/>
  <c r="Y14" i="15"/>
  <c r="AA22" i="25" l="1"/>
  <c r="Y50" i="25"/>
  <c r="AB22" i="25"/>
  <c r="AB23" i="25"/>
  <c r="Y34" i="25"/>
  <c r="AA33" i="25"/>
  <c r="AA25" i="15"/>
  <c r="Y26" i="15"/>
  <c r="Y15" i="15"/>
  <c r="AA14" i="15"/>
  <c r="AD23" i="25" l="1"/>
  <c r="AD22" i="25"/>
  <c r="AA50" i="25"/>
  <c r="AA34" i="25"/>
  <c r="Y35" i="25"/>
  <c r="AB34" i="25"/>
  <c r="Y51" i="25"/>
  <c r="AA26" i="15"/>
  <c r="Y27" i="15"/>
  <c r="Y16" i="15"/>
  <c r="AA15" i="15"/>
  <c r="AA51" i="25" l="1"/>
  <c r="AD34" i="25"/>
  <c r="AA35" i="25"/>
  <c r="Y36" i="25"/>
  <c r="AB35" i="25"/>
  <c r="AA16" i="15"/>
  <c r="Y17" i="15"/>
  <c r="Y28" i="15"/>
  <c r="AA27" i="15"/>
  <c r="AA36" i="25" l="1"/>
  <c r="Y37" i="25"/>
  <c r="AD35" i="25"/>
  <c r="Y29" i="15"/>
  <c r="AA28" i="15"/>
  <c r="Y18" i="15"/>
  <c r="AA17" i="15"/>
  <c r="Y38" i="25" l="1"/>
  <c r="AA37" i="25"/>
  <c r="Y30" i="15"/>
  <c r="AA29" i="15"/>
  <c r="AA18" i="15"/>
  <c r="Y19" i="15"/>
  <c r="Y39" i="25" l="1"/>
  <c r="AA38" i="25"/>
  <c r="Y31" i="15"/>
  <c r="AA30" i="15"/>
  <c r="AA19" i="15"/>
  <c r="Y20" i="15"/>
  <c r="AA39" i="25" l="1"/>
  <c r="Y40" i="25"/>
  <c r="AA31" i="15"/>
  <c r="Y32" i="15"/>
  <c r="AA20" i="15"/>
  <c r="Y21" i="15"/>
  <c r="Y49" i="15" s="1"/>
  <c r="AA40" i="25" l="1"/>
  <c r="Y41" i="25"/>
  <c r="AA21" i="15"/>
  <c r="AA49" i="15" s="1"/>
  <c r="AB22" i="15"/>
  <c r="AB21" i="15"/>
  <c r="Y33" i="15"/>
  <c r="Y50" i="15" s="1"/>
  <c r="AA32" i="15"/>
  <c r="Y42" i="25" l="1"/>
  <c r="AA41" i="25"/>
  <c r="AA33" i="15"/>
  <c r="Y34" i="15"/>
  <c r="AB33" i="15"/>
  <c r="AD21" i="15"/>
  <c r="AD22" i="15"/>
  <c r="Y43" i="25" l="1"/>
  <c r="AA42" i="25"/>
  <c r="AA50" i="15"/>
  <c r="AA34" i="15"/>
  <c r="Y35" i="15"/>
  <c r="AB34" i="15"/>
  <c r="AD33" i="15"/>
  <c r="AA43" i="25" l="1"/>
  <c r="Y44" i="25"/>
  <c r="AD34" i="15"/>
  <c r="Y36" i="15"/>
  <c r="AA35" i="15"/>
  <c r="AA44" i="25" l="1"/>
  <c r="Y45" i="25"/>
  <c r="Y37" i="15"/>
  <c r="AA36" i="15"/>
  <c r="Y46" i="25" l="1"/>
  <c r="AA45" i="25"/>
  <c r="AA37" i="15"/>
  <c r="Y38" i="15"/>
  <c r="AA46" i="25" l="1"/>
  <c r="Y52" i="25" a="1"/>
  <c r="Y52" i="25" s="1"/>
  <c r="AB46" i="25"/>
  <c r="Y39" i="15"/>
  <c r="AA38" i="15"/>
  <c r="AA52" i="25" l="1" a="1"/>
  <c r="AA52" i="25" s="1"/>
  <c r="AD46" i="25"/>
  <c r="AA39" i="15"/>
  <c r="Y40" i="15"/>
  <c r="Y41" i="15" l="1"/>
  <c r="AA40" i="15"/>
  <c r="Y42" i="15" l="1"/>
  <c r="AA41" i="15"/>
  <c r="AA42" i="15" l="1"/>
  <c r="Y43" i="15"/>
  <c r="Y44" i="15" l="1"/>
  <c r="AA43" i="15"/>
  <c r="AA44" i="15" l="1"/>
  <c r="Y45" i="15"/>
  <c r="Y51" i="15" s="1" a="1"/>
  <c r="Y51" i="15" s="1"/>
  <c r="AA45" i="15" l="1"/>
  <c r="AB45" i="15"/>
  <c r="AA51" i="15" l="1" a="1"/>
  <c r="AA51" i="15" s="1"/>
  <c r="AD45" i="15"/>
  <c r="J30" i="11" l="1"/>
  <c r="K30" i="11"/>
  <c r="L30" i="11"/>
  <c r="M30" i="11"/>
  <c r="N30" i="11"/>
  <c r="O30" i="11"/>
  <c r="P30" i="11"/>
  <c r="Q30" i="11"/>
  <c r="C30" i="11"/>
  <c r="D30" i="11"/>
  <c r="F30" i="11"/>
  <c r="G30" i="11"/>
  <c r="C21" i="10"/>
  <c r="W26" i="9"/>
  <c r="V26" i="9"/>
  <c r="T26" i="9"/>
  <c r="S26" i="9"/>
  <c r="R26" i="9"/>
  <c r="AC26" i="9" s="1"/>
  <c r="Q26" i="9"/>
  <c r="AB26" i="9" s="1"/>
  <c r="N26" i="9"/>
  <c r="K26" i="9"/>
  <c r="AH58" i="9" s="1"/>
  <c r="J26" i="9"/>
  <c r="AG58" i="9" s="1"/>
  <c r="H26" i="9"/>
  <c r="AE58" i="9" s="1"/>
  <c r="G26" i="9"/>
  <c r="AD58" i="9" s="1"/>
  <c r="F26" i="9"/>
  <c r="AC58" i="9" s="1"/>
  <c r="E26" i="9"/>
  <c r="AB58" i="9" s="1"/>
  <c r="B26" i="9"/>
  <c r="Y58" i="9" s="1"/>
  <c r="W24" i="9"/>
  <c r="V24" i="9"/>
  <c r="T24" i="9"/>
  <c r="AE24" i="9" s="1"/>
  <c r="S24" i="9"/>
  <c r="R24" i="9"/>
  <c r="Q24" i="9"/>
  <c r="AB24" i="9" s="1"/>
  <c r="N24" i="9"/>
  <c r="K24" i="9"/>
  <c r="AH56" i="9" s="1"/>
  <c r="J24" i="9"/>
  <c r="AG56" i="9" s="1"/>
  <c r="H24" i="9"/>
  <c r="AE56" i="9" s="1"/>
  <c r="G24" i="9"/>
  <c r="AD56" i="9" s="1"/>
  <c r="F24" i="9"/>
  <c r="AC56" i="9" s="1"/>
  <c r="E24" i="9"/>
  <c r="AB56" i="9" s="1"/>
  <c r="B24" i="9"/>
  <c r="Y56" i="9" s="1"/>
  <c r="P35" i="8"/>
  <c r="P29" i="8"/>
  <c r="P28" i="8"/>
  <c r="P27" i="8"/>
  <c r="P26" i="8"/>
  <c r="P25" i="8"/>
  <c r="P17" i="8"/>
  <c r="P16" i="8"/>
  <c r="P14" i="8"/>
  <c r="P13" i="8"/>
  <c r="N14" i="8"/>
  <c r="N13" i="8"/>
  <c r="N17" i="8"/>
  <c r="N16" i="8"/>
  <c r="N29" i="8"/>
  <c r="N28" i="8"/>
  <c r="V28" i="8" s="1"/>
  <c r="N27" i="8"/>
  <c r="V27" i="8" s="1"/>
  <c r="N26" i="8"/>
  <c r="V26" i="8" s="1"/>
  <c r="N25" i="8"/>
  <c r="V25" i="8" s="1"/>
  <c r="N35" i="8"/>
  <c r="V35" i="8" s="1"/>
  <c r="L35" i="8"/>
  <c r="L29" i="8"/>
  <c r="L28" i="8"/>
  <c r="L27" i="8"/>
  <c r="L26" i="8"/>
  <c r="L25" i="8"/>
  <c r="L17" i="8"/>
  <c r="L16" i="8"/>
  <c r="L14" i="8"/>
  <c r="L13" i="8"/>
  <c r="J14" i="8"/>
  <c r="J13" i="8"/>
  <c r="J17" i="8"/>
  <c r="J16" i="8"/>
  <c r="J29" i="8"/>
  <c r="J28" i="8"/>
  <c r="J27" i="8"/>
  <c r="J26" i="8"/>
  <c r="J25" i="8"/>
  <c r="J35" i="8"/>
  <c r="H35" i="8"/>
  <c r="AB35" i="8" s="1"/>
  <c r="H29" i="8"/>
  <c r="AB29" i="8" s="1"/>
  <c r="H28" i="8"/>
  <c r="AB28" i="8" s="1"/>
  <c r="H27" i="8"/>
  <c r="AB27" i="8" s="1"/>
  <c r="H26" i="8"/>
  <c r="H25" i="8"/>
  <c r="H17" i="8"/>
  <c r="H16" i="8"/>
  <c r="H14" i="8"/>
  <c r="H13" i="8"/>
  <c r="F14" i="8"/>
  <c r="F13" i="8"/>
  <c r="F16" i="8"/>
  <c r="D16" i="8"/>
  <c r="B16" i="8"/>
  <c r="F17" i="8"/>
  <c r="F29" i="8"/>
  <c r="F28" i="8"/>
  <c r="F27" i="8"/>
  <c r="F26" i="8"/>
  <c r="F25" i="8"/>
  <c r="F35" i="8"/>
  <c r="D35" i="8"/>
  <c r="D29" i="8"/>
  <c r="D28" i="8"/>
  <c r="D27" i="8"/>
  <c r="D26" i="8"/>
  <c r="D25" i="8"/>
  <c r="D17" i="8"/>
  <c r="D14" i="8"/>
  <c r="D13" i="8"/>
  <c r="B35" i="8"/>
  <c r="B29" i="8"/>
  <c r="B28" i="8"/>
  <c r="B27" i="8"/>
  <c r="B26" i="8"/>
  <c r="B25" i="8"/>
  <c r="B17" i="8"/>
  <c r="B14" i="8"/>
  <c r="B13" i="8"/>
  <c r="P10" i="8"/>
  <c r="N10" i="8" s="1"/>
  <c r="V29" i="8" l="1"/>
  <c r="AC24" i="9"/>
  <c r="Y26" i="9"/>
  <c r="AD24" i="9"/>
  <c r="Y24" i="9"/>
  <c r="AE26" i="9"/>
  <c r="AH24" i="9"/>
  <c r="T13" i="8"/>
  <c r="AF13" i="8"/>
  <c r="Z25" i="8"/>
  <c r="X25" i="8"/>
  <c r="T14" i="8"/>
  <c r="AF14" i="8"/>
  <c r="T25" i="8"/>
  <c r="AF25" i="8"/>
  <c r="V16" i="8"/>
  <c r="Z29" i="8"/>
  <c r="X29" i="8"/>
  <c r="T16" i="8"/>
  <c r="AF16" i="8"/>
  <c r="T17" i="8"/>
  <c r="AF17" i="8"/>
  <c r="R26" i="8"/>
  <c r="AD26" i="8"/>
  <c r="AB14" i="8"/>
  <c r="R27" i="8"/>
  <c r="AD27" i="8"/>
  <c r="AF26" i="8"/>
  <c r="T26" i="8"/>
  <c r="V17" i="8"/>
  <c r="X35" i="8"/>
  <c r="Z35" i="8"/>
  <c r="R14" i="8"/>
  <c r="AD14" i="8"/>
  <c r="AB16" i="8"/>
  <c r="AD28" i="8"/>
  <c r="R28" i="8"/>
  <c r="AF27" i="8"/>
  <c r="T27" i="8"/>
  <c r="V13" i="8"/>
  <c r="R25" i="8"/>
  <c r="AD25" i="8"/>
  <c r="AB17" i="8"/>
  <c r="AD29" i="8"/>
  <c r="R29" i="8"/>
  <c r="AF28" i="8"/>
  <c r="T28" i="8"/>
  <c r="V14" i="8"/>
  <c r="Z17" i="8"/>
  <c r="X17" i="8"/>
  <c r="X26" i="8"/>
  <c r="Z26" i="8"/>
  <c r="Z27" i="8"/>
  <c r="X27" i="8"/>
  <c r="Z28" i="8"/>
  <c r="X28" i="8"/>
  <c r="AB13" i="8"/>
  <c r="AB25" i="8"/>
  <c r="AD16" i="8"/>
  <c r="R16" i="8"/>
  <c r="AF29" i="8"/>
  <c r="T29" i="8"/>
  <c r="X13" i="8"/>
  <c r="Z13" i="8"/>
  <c r="R35" i="8"/>
  <c r="AD35" i="8"/>
  <c r="AB26" i="8"/>
  <c r="R17" i="8"/>
  <c r="AD17" i="8"/>
  <c r="AF35" i="8"/>
  <c r="T35" i="8"/>
  <c r="Z14" i="8"/>
  <c r="X14" i="8"/>
  <c r="R13" i="8"/>
  <c r="AD13" i="8"/>
  <c r="Z16" i="8"/>
  <c r="X16" i="8"/>
  <c r="AG24" i="9"/>
  <c r="AD26" i="9"/>
  <c r="AG26" i="9"/>
  <c r="AH26" i="9"/>
  <c r="L10" i="8"/>
  <c r="X10" i="8"/>
  <c r="F25" i="9"/>
  <c r="AC57" i="9" s="1"/>
  <c r="G27" i="9"/>
  <c r="AD59" i="9" s="1"/>
  <c r="H27" i="9"/>
  <c r="AE59" i="9" s="1"/>
  <c r="H25" i="9"/>
  <c r="AE57" i="9" s="1"/>
  <c r="K25" i="9"/>
  <c r="AH57" i="9" s="1"/>
  <c r="K27" i="9"/>
  <c r="AH59" i="9" s="1"/>
  <c r="G25" i="9"/>
  <c r="AD57" i="9" s="1"/>
  <c r="E27" i="9"/>
  <c r="AB59" i="9" s="1"/>
  <c r="W27" i="9"/>
  <c r="E25" i="9"/>
  <c r="AB57" i="9" s="1"/>
  <c r="F27" i="9"/>
  <c r="AC59" i="9" s="1"/>
  <c r="W25" i="9"/>
  <c r="T27" i="9"/>
  <c r="Q25" i="9"/>
  <c r="R25" i="9"/>
  <c r="S25" i="9"/>
  <c r="T25" i="9"/>
  <c r="Q27" i="9"/>
  <c r="R27" i="9"/>
  <c r="S27" i="9"/>
  <c r="AD25" i="9" l="1"/>
  <c r="AC25" i="9"/>
  <c r="AB25" i="9"/>
  <c r="AE25" i="9"/>
  <c r="F28" i="9"/>
  <c r="F29" i="9" s="1"/>
  <c r="AB27" i="9"/>
  <c r="AH25" i="9"/>
  <c r="H28" i="9"/>
  <c r="H31" i="9" s="1"/>
  <c r="AE27" i="9"/>
  <c r="AH27" i="9"/>
  <c r="AD27" i="9"/>
  <c r="AC27" i="9"/>
  <c r="J10" i="8"/>
  <c r="V10" i="8"/>
  <c r="G28" i="9"/>
  <c r="G31" i="9" s="1"/>
  <c r="K28" i="9"/>
  <c r="K31" i="9" s="1"/>
  <c r="E28" i="9"/>
  <c r="F31" i="9" l="1"/>
  <c r="H29" i="9"/>
  <c r="H10" i="8"/>
  <c r="R10" i="8" s="1"/>
  <c r="T10" i="8"/>
  <c r="K29" i="9"/>
  <c r="G29" i="9"/>
  <c r="E31" i="9"/>
  <c r="E29" i="9"/>
  <c r="D15" i="7" l="1"/>
  <c r="D14" i="7"/>
  <c r="D24" i="7"/>
  <c r="D23" i="7"/>
  <c r="D34" i="7"/>
  <c r="K44" i="7" s="1"/>
  <c r="D33" i="7"/>
  <c r="K43" i="7" s="1"/>
  <c r="S22" i="11"/>
  <c r="R22" i="11" s="1"/>
  <c r="S21" i="11"/>
  <c r="R21" i="11" s="1"/>
  <c r="S20" i="11"/>
  <c r="R20" i="11" s="1"/>
  <c r="S19" i="11"/>
  <c r="R19" i="11" s="1"/>
  <c r="S18" i="11"/>
  <c r="R18" i="11" s="1"/>
  <c r="S17" i="11"/>
  <c r="R17" i="11" s="1"/>
  <c r="S16" i="11"/>
  <c r="R16" i="11" s="1"/>
  <c r="S15" i="11"/>
  <c r="R15" i="11" s="1"/>
  <c r="S14" i="11"/>
  <c r="R14" i="11" s="1"/>
  <c r="S13" i="11"/>
  <c r="S12" i="11"/>
  <c r="R12" i="11" s="1"/>
  <c r="S11" i="11"/>
  <c r="R11" i="11" s="1"/>
  <c r="K29" i="11"/>
  <c r="N29" i="11"/>
  <c r="R13" i="11" l="1"/>
  <c r="R30" i="11" s="1"/>
  <c r="S30" i="11"/>
  <c r="C6" i="4" l="1"/>
  <c r="C7" i="27" l="1"/>
  <c r="A20" i="27"/>
  <c r="A29" i="27"/>
  <c r="A11" i="27"/>
  <c r="G20" i="27" s="1"/>
  <c r="G38" i="27"/>
  <c r="M54" i="9"/>
  <c r="M53" i="9"/>
  <c r="N41" i="9"/>
  <c r="A46" i="25"/>
  <c r="A45" i="25" s="1"/>
  <c r="B6" i="26"/>
  <c r="B6" i="22"/>
  <c r="B6" i="23"/>
  <c r="B6" i="24"/>
  <c r="D9" i="22"/>
  <c r="B9" i="9"/>
  <c r="A45" i="15"/>
  <c r="A44" i="15" s="1"/>
  <c r="A43" i="15" s="1"/>
  <c r="A42" i="15" s="1"/>
  <c r="A41" i="15" s="1"/>
  <c r="A40" i="15" s="1"/>
  <c r="A39" i="15" s="1"/>
  <c r="A38" i="15" s="1"/>
  <c r="A37" i="15" s="1"/>
  <c r="A36" i="15" s="1"/>
  <c r="A35" i="15" s="1"/>
  <c r="A34" i="15" s="1"/>
  <c r="A33" i="15" s="1"/>
  <c r="A32" i="15" s="1"/>
  <c r="A31" i="15" s="1"/>
  <c r="A30" i="15" s="1"/>
  <c r="A29" i="15" s="1"/>
  <c r="A28" i="15" s="1"/>
  <c r="A27" i="15" s="1"/>
  <c r="A26" i="15" s="1"/>
  <c r="A25" i="15" s="1"/>
  <c r="A24" i="15" s="1"/>
  <c r="A23" i="15" s="1"/>
  <c r="A22" i="15" s="1"/>
  <c r="A21" i="15" s="1"/>
  <c r="A20" i="15" s="1"/>
  <c r="A19" i="15" s="1"/>
  <c r="A18" i="15" s="1"/>
  <c r="A17" i="15" s="1"/>
  <c r="A16" i="15" s="1"/>
  <c r="A15" i="15" s="1"/>
  <c r="A14" i="15" s="1"/>
  <c r="A13" i="15" s="1"/>
  <c r="A12" i="15" s="1"/>
  <c r="A11" i="15" s="1"/>
  <c r="A10" i="15" s="1"/>
  <c r="G37" i="13"/>
  <c r="A28" i="13"/>
  <c r="A19" i="13"/>
  <c r="A10" i="13"/>
  <c r="B10" i="16"/>
  <c r="H10" i="16" s="1"/>
  <c r="C10" i="16"/>
  <c r="I10" i="16" s="1"/>
  <c r="G10" i="16"/>
  <c r="F10" i="16"/>
  <c r="E10" i="16"/>
  <c r="D10" i="16"/>
  <c r="B6" i="16"/>
  <c r="B6" i="10"/>
  <c r="E6" i="11"/>
  <c r="B6" i="9"/>
  <c r="B6" i="8"/>
  <c r="A11" i="11"/>
  <c r="A28" i="11" s="1"/>
  <c r="F10" i="8"/>
  <c r="A40" i="11"/>
  <c r="A23" i="11"/>
  <c r="G11" i="4"/>
  <c r="J11" i="4"/>
  <c r="C4" i="13"/>
  <c r="C5" i="13"/>
  <c r="C3" i="13"/>
  <c r="G29" i="27" l="1"/>
  <c r="Y9" i="9"/>
  <c r="Y41" i="9"/>
  <c r="G28" i="13"/>
  <c r="A44" i="25"/>
  <c r="G19" i="13"/>
  <c r="N8" i="22"/>
  <c r="Q9" i="22"/>
  <c r="C9" i="22"/>
  <c r="D10" i="8"/>
  <c r="AF10" i="8"/>
  <c r="Z9" i="8"/>
  <c r="B50" i="15" a="1"/>
  <c r="B50" i="15" s="1"/>
  <c r="B51" i="15" a="1"/>
  <c r="B51" i="15" s="1"/>
  <c r="F51" i="15" a="1"/>
  <c r="F51" i="15" s="1"/>
  <c r="B49" i="15" a="1"/>
  <c r="B49" i="15" s="1"/>
  <c r="F49" i="15" a="1"/>
  <c r="F49" i="15" s="1"/>
  <c r="F50" i="15" a="1"/>
  <c r="F50" i="15" s="1"/>
  <c r="G50" i="15" a="1"/>
  <c r="G50" i="15" s="1"/>
  <c r="G49" i="15" a="1"/>
  <c r="G49" i="15" s="1"/>
  <c r="G51" i="15" a="1"/>
  <c r="G51" i="15" s="1"/>
  <c r="P17" i="15" a="1"/>
  <c r="P17" i="15" s="1"/>
  <c r="C17" i="15" s="1"/>
  <c r="E17" i="15" s="1"/>
  <c r="H17" i="15" s="1"/>
  <c r="I17" i="15" s="1"/>
  <c r="J17" i="15" s="1"/>
  <c r="P30" i="15" a="1"/>
  <c r="P30" i="15" s="1"/>
  <c r="C30" i="15" s="1"/>
  <c r="E30" i="15" s="1"/>
  <c r="H30" i="15" s="1"/>
  <c r="I30" i="15" s="1"/>
  <c r="J30" i="15" s="1"/>
  <c r="P26" i="15" a="1"/>
  <c r="P26" i="15" s="1"/>
  <c r="C26" i="15" s="1"/>
  <c r="E26" i="15" s="1"/>
  <c r="H26" i="15" s="1"/>
  <c r="I26" i="15" s="1"/>
  <c r="J26" i="15" s="1"/>
  <c r="P32" i="15" a="1"/>
  <c r="P32" i="15" s="1"/>
  <c r="C32" i="15" s="1"/>
  <c r="E32" i="15" s="1"/>
  <c r="H32" i="15" s="1"/>
  <c r="I32" i="15" s="1"/>
  <c r="J32" i="15" s="1"/>
  <c r="P27" i="15" a="1"/>
  <c r="P27" i="15" s="1"/>
  <c r="C27" i="15" s="1"/>
  <c r="E27" i="15" s="1"/>
  <c r="H27" i="15" s="1"/>
  <c r="I27" i="15" s="1"/>
  <c r="J27" i="15" s="1"/>
  <c r="P18" i="15" a="1"/>
  <c r="P18" i="15" s="1"/>
  <c r="C18" i="15" s="1"/>
  <c r="E18" i="15" s="1"/>
  <c r="H18" i="15" s="1"/>
  <c r="I18" i="15" s="1"/>
  <c r="J18" i="15" s="1"/>
  <c r="P29" i="15" a="1"/>
  <c r="P29" i="15" s="1"/>
  <c r="C29" i="15" s="1"/>
  <c r="E29" i="15" s="1"/>
  <c r="H29" i="15" s="1"/>
  <c r="I29" i="15" s="1"/>
  <c r="J29" i="15" s="1"/>
  <c r="P42" i="15" a="1"/>
  <c r="P42" i="15" s="1"/>
  <c r="C42" i="15" s="1"/>
  <c r="E42" i="15" s="1"/>
  <c r="H42" i="15" s="1"/>
  <c r="I42" i="15" s="1"/>
  <c r="J42" i="15" s="1"/>
  <c r="P40" i="15" a="1"/>
  <c r="P40" i="15" s="1"/>
  <c r="C40" i="15" s="1"/>
  <c r="E40" i="15" s="1"/>
  <c r="H40" i="15" s="1"/>
  <c r="I40" i="15" s="1"/>
  <c r="J40" i="15" s="1"/>
  <c r="P44" i="15" a="1"/>
  <c r="P44" i="15" s="1"/>
  <c r="C44" i="15" s="1"/>
  <c r="E44" i="15" s="1"/>
  <c r="H44" i="15" s="1"/>
  <c r="I44" i="15" s="1"/>
  <c r="J44" i="15" s="1"/>
  <c r="P41" i="15" a="1"/>
  <c r="P41" i="15" s="1"/>
  <c r="C41" i="15" s="1"/>
  <c r="E41" i="15" s="1"/>
  <c r="H41" i="15" s="1"/>
  <c r="I41" i="15" s="1"/>
  <c r="J41" i="15" s="1"/>
  <c r="P39" i="15" a="1"/>
  <c r="P39" i="15" s="1"/>
  <c r="C39" i="15" s="1"/>
  <c r="E39" i="15" s="1"/>
  <c r="H39" i="15" s="1"/>
  <c r="I39" i="15" s="1"/>
  <c r="J39" i="15" s="1"/>
  <c r="P38" i="15" a="1"/>
  <c r="P38" i="15" s="1"/>
  <c r="C38" i="15" s="1"/>
  <c r="E38" i="15" s="1"/>
  <c r="H38" i="15" s="1"/>
  <c r="I38" i="15" s="1"/>
  <c r="J38" i="15" s="1"/>
  <c r="P21" i="15" a="1"/>
  <c r="P21" i="15" s="1"/>
  <c r="C21" i="15" s="1"/>
  <c r="E21" i="15" s="1"/>
  <c r="H21" i="15" s="1"/>
  <c r="I21" i="15" s="1"/>
  <c r="J21" i="15" s="1"/>
  <c r="P16" i="15" a="1"/>
  <c r="P16" i="15" s="1"/>
  <c r="C16" i="15" s="1"/>
  <c r="E16" i="15" s="1"/>
  <c r="H16" i="15" s="1"/>
  <c r="I16" i="15" s="1"/>
  <c r="J16" i="15" s="1"/>
  <c r="P11" i="15" a="1"/>
  <c r="P11" i="15" s="1"/>
  <c r="C11" i="15" s="1"/>
  <c r="E11" i="15" s="1"/>
  <c r="H11" i="15" s="1"/>
  <c r="I11" i="15" s="1"/>
  <c r="J11" i="15" s="1"/>
  <c r="P19" i="15" a="1"/>
  <c r="P19" i="15" s="1"/>
  <c r="C19" i="15" s="1"/>
  <c r="E19" i="15" s="1"/>
  <c r="H19" i="15" s="1"/>
  <c r="I19" i="15" s="1"/>
  <c r="J19" i="15" s="1"/>
  <c r="P24" i="15" a="1"/>
  <c r="P24" i="15" s="1"/>
  <c r="C24" i="15" s="1"/>
  <c r="E24" i="15" s="1"/>
  <c r="H24" i="15" s="1"/>
  <c r="I24" i="15" s="1"/>
  <c r="J24" i="15" s="1"/>
  <c r="P23" i="15" a="1"/>
  <c r="P23" i="15" s="1"/>
  <c r="C23" i="15" s="1"/>
  <c r="E23" i="15" s="1"/>
  <c r="H23" i="15" s="1"/>
  <c r="I23" i="15" s="1"/>
  <c r="J23" i="15" s="1"/>
  <c r="P31" i="15" a="1"/>
  <c r="P31" i="15" s="1"/>
  <c r="C31" i="15" s="1"/>
  <c r="E31" i="15" s="1"/>
  <c r="H31" i="15" s="1"/>
  <c r="I31" i="15" s="1"/>
  <c r="J31" i="15" s="1"/>
  <c r="P15" i="15" a="1"/>
  <c r="P15" i="15" s="1"/>
  <c r="C15" i="15" s="1"/>
  <c r="E15" i="15" s="1"/>
  <c r="H15" i="15" s="1"/>
  <c r="I15" i="15" s="1"/>
  <c r="J15" i="15" s="1"/>
  <c r="P37" i="15" a="1"/>
  <c r="P37" i="15" s="1"/>
  <c r="C37" i="15" s="1"/>
  <c r="E37" i="15" s="1"/>
  <c r="H37" i="15" s="1"/>
  <c r="I37" i="15" s="1"/>
  <c r="J37" i="15" s="1"/>
  <c r="P35" i="15" a="1"/>
  <c r="P35" i="15" s="1"/>
  <c r="C35" i="15" s="1"/>
  <c r="E35" i="15" s="1"/>
  <c r="H35" i="15" s="1"/>
  <c r="I35" i="15" s="1"/>
  <c r="J35" i="15" s="1"/>
  <c r="P43" i="15" a="1"/>
  <c r="P43" i="15" s="1"/>
  <c r="C43" i="15" s="1"/>
  <c r="E43" i="15" s="1"/>
  <c r="H43" i="15" s="1"/>
  <c r="I43" i="15" s="1"/>
  <c r="J43" i="15" s="1"/>
  <c r="P28" i="15" a="1"/>
  <c r="P28" i="15" s="1"/>
  <c r="C28" i="15" s="1"/>
  <c r="E28" i="15" s="1"/>
  <c r="H28" i="15" s="1"/>
  <c r="I28" i="15" s="1"/>
  <c r="J28" i="15" s="1"/>
  <c r="P34" i="15" a="1"/>
  <c r="P34" i="15" s="1"/>
  <c r="C34" i="15" s="1"/>
  <c r="E34" i="15" s="1"/>
  <c r="H34" i="15" s="1"/>
  <c r="I34" i="15" s="1"/>
  <c r="J34" i="15" s="1"/>
  <c r="P13" i="15" a="1"/>
  <c r="P13" i="15" s="1"/>
  <c r="C13" i="15" s="1"/>
  <c r="E13" i="15" s="1"/>
  <c r="H13" i="15" s="1"/>
  <c r="I13" i="15" s="1"/>
  <c r="J13" i="15" s="1"/>
  <c r="P10" i="15" a="1"/>
  <c r="P10" i="15" s="1"/>
  <c r="C10" i="15" s="1"/>
  <c r="P20" i="15" a="1"/>
  <c r="P20" i="15" s="1"/>
  <c r="C20" i="15" s="1"/>
  <c r="E20" i="15" s="1"/>
  <c r="H20" i="15" s="1"/>
  <c r="I20" i="15" s="1"/>
  <c r="J20" i="15" s="1"/>
  <c r="P12" i="15" a="1"/>
  <c r="P12" i="15" s="1"/>
  <c r="C12" i="15" s="1"/>
  <c r="E12" i="15" s="1"/>
  <c r="H12" i="15" s="1"/>
  <c r="I12" i="15" s="1"/>
  <c r="J12" i="15" s="1"/>
  <c r="P25" i="15" a="1"/>
  <c r="P25" i="15" s="1"/>
  <c r="C25" i="15" s="1"/>
  <c r="E25" i="15" s="1"/>
  <c r="H25" i="15" s="1"/>
  <c r="I25" i="15" s="1"/>
  <c r="J25" i="15" s="1"/>
  <c r="P33" i="15" a="1"/>
  <c r="P33" i="15" s="1"/>
  <c r="C33" i="15" s="1"/>
  <c r="E33" i="15" s="1"/>
  <c r="H33" i="15" s="1"/>
  <c r="I33" i="15" s="1"/>
  <c r="J33" i="15" s="1"/>
  <c r="P36" i="15" a="1"/>
  <c r="P36" i="15" s="1"/>
  <c r="C36" i="15" s="1"/>
  <c r="E36" i="15" s="1"/>
  <c r="H36" i="15" s="1"/>
  <c r="I36" i="15" s="1"/>
  <c r="J36" i="15" s="1"/>
  <c r="P22" i="15" a="1"/>
  <c r="P22" i="15" s="1"/>
  <c r="C22" i="15" s="1"/>
  <c r="P45" i="15" a="1"/>
  <c r="P45" i="15" s="1"/>
  <c r="C45" i="15" s="1"/>
  <c r="E45" i="15" s="1"/>
  <c r="P14" i="15" a="1"/>
  <c r="P14" i="15" s="1"/>
  <c r="C14" i="15" s="1"/>
  <c r="E14" i="15" s="1"/>
  <c r="H14" i="15" s="1"/>
  <c r="I14" i="15" s="1"/>
  <c r="J14" i="15" s="1"/>
  <c r="E13" i="4"/>
  <c r="E10" i="15" l="1"/>
  <c r="Q36" i="15"/>
  <c r="R36" i="15" s="1"/>
  <c r="A43" i="25"/>
  <c r="E22" i="15"/>
  <c r="H22" i="15" s="1"/>
  <c r="I22" i="15" s="1"/>
  <c r="J22" i="15" s="1"/>
  <c r="S44" i="15" s="1"/>
  <c r="S38" i="15"/>
  <c r="P9" i="22"/>
  <c r="B9" i="22"/>
  <c r="O9" i="22" s="1"/>
  <c r="Q12" i="15"/>
  <c r="R12" i="15" s="1"/>
  <c r="Q42" i="15"/>
  <c r="R42" i="15" s="1"/>
  <c r="B10" i="8"/>
  <c r="AB10" i="8" s="1"/>
  <c r="AD10" i="8"/>
  <c r="Q29" i="15"/>
  <c r="R29" i="15" s="1"/>
  <c r="Q30" i="15"/>
  <c r="R30" i="15" s="1"/>
  <c r="Q17" i="15"/>
  <c r="R17" i="15" s="1"/>
  <c r="Q35" i="15"/>
  <c r="R35" i="15" s="1"/>
  <c r="Q26" i="15"/>
  <c r="R26" i="15" s="1"/>
  <c r="Q19" i="15"/>
  <c r="R19" i="15" s="1"/>
  <c r="Q14" i="15"/>
  <c r="R14" i="15" s="1"/>
  <c r="H45" i="15"/>
  <c r="Q45" i="15"/>
  <c r="Q40" i="15"/>
  <c r="R40" i="15" s="1"/>
  <c r="Q32" i="15"/>
  <c r="R32" i="15" s="1"/>
  <c r="Q15" i="15"/>
  <c r="R15" i="15" s="1"/>
  <c r="Q25" i="15"/>
  <c r="R25" i="15" s="1"/>
  <c r="Q16" i="15"/>
  <c r="R16" i="15" s="1"/>
  <c r="Q11" i="15"/>
  <c r="R11" i="15" s="1"/>
  <c r="Q10" i="15"/>
  <c r="Q41" i="15"/>
  <c r="R41" i="15" s="1"/>
  <c r="Q24" i="15"/>
  <c r="R24" i="15" s="1"/>
  <c r="Q20" i="15"/>
  <c r="R20" i="15" s="1"/>
  <c r="Q21" i="15"/>
  <c r="R21" i="15" s="1"/>
  <c r="Q38" i="15"/>
  <c r="R38" i="15" s="1"/>
  <c r="Q27" i="15"/>
  <c r="R27" i="15" s="1"/>
  <c r="Q34" i="15"/>
  <c r="R34" i="15" s="1"/>
  <c r="Q43" i="15"/>
  <c r="R43" i="15" s="1"/>
  <c r="Q13" i="15"/>
  <c r="R13" i="15" s="1"/>
  <c r="C50" i="15" a="1"/>
  <c r="C50" i="15" s="1"/>
  <c r="Q28" i="15"/>
  <c r="R28" i="15" s="1"/>
  <c r="Q23" i="15"/>
  <c r="R23" i="15" s="1"/>
  <c r="Q33" i="15"/>
  <c r="R33" i="15" s="1"/>
  <c r="C51" i="15" a="1"/>
  <c r="C51" i="15" s="1"/>
  <c r="Q18" i="15"/>
  <c r="R18" i="15" s="1"/>
  <c r="Q31" i="15"/>
  <c r="R31" i="15" s="1"/>
  <c r="Q37" i="15"/>
  <c r="R37" i="15" s="1"/>
  <c r="C49" i="15" a="1"/>
  <c r="C49" i="15" s="1"/>
  <c r="Q39" i="15"/>
  <c r="R39" i="15" s="1"/>
  <c r="Q22" i="15"/>
  <c r="Q44" i="15"/>
  <c r="R44" i="15" s="1"/>
  <c r="K34" i="7"/>
  <c r="K33" i="7"/>
  <c r="J34" i="7"/>
  <c r="J33" i="7"/>
  <c r="B35" i="7"/>
  <c r="J45" i="7" s="1"/>
  <c r="B25" i="7"/>
  <c r="B16" i="7"/>
  <c r="M32" i="13" a="1"/>
  <c r="M32" i="13" s="1"/>
  <c r="M25" i="13" a="1"/>
  <c r="M25" i="13" s="1"/>
  <c r="M23" i="13" a="1"/>
  <c r="M23" i="13" s="1"/>
  <c r="M22" i="13" a="1"/>
  <c r="M22" i="13" s="1"/>
  <c r="M34" i="13" a="1"/>
  <c r="M34" i="13" s="1"/>
  <c r="M33" i="13" a="1"/>
  <c r="M33" i="13" s="1"/>
  <c r="M31" i="13" a="1"/>
  <c r="M31" i="13" s="1"/>
  <c r="M43" i="13" a="1"/>
  <c r="M43" i="13" s="1"/>
  <c r="M42" i="13" a="1"/>
  <c r="M42" i="13" s="1"/>
  <c r="M41" i="13" a="1"/>
  <c r="M41" i="13" s="1"/>
  <c r="M40" i="13" a="1"/>
  <c r="M40" i="13" s="1"/>
  <c r="E16" i="13"/>
  <c r="E15" i="13"/>
  <c r="E14" i="13"/>
  <c r="E13" i="13"/>
  <c r="S35" i="15" l="1"/>
  <c r="S40" i="15"/>
  <c r="E51" i="15" a="1"/>
  <c r="E51" i="15" s="1"/>
  <c r="E50" i="15" a="1"/>
  <c r="E50" i="15" s="1"/>
  <c r="R22" i="15"/>
  <c r="T41" i="15" s="1"/>
  <c r="S37" i="15"/>
  <c r="S43" i="15"/>
  <c r="E49" i="15" a="1"/>
  <c r="E49" i="15" s="1"/>
  <c r="S42" i="15"/>
  <c r="S39" i="15"/>
  <c r="S41" i="15"/>
  <c r="H10" i="15"/>
  <c r="H49" i="15" s="1" a="1"/>
  <c r="H49" i="15" s="1"/>
  <c r="A42" i="25"/>
  <c r="S34" i="15"/>
  <c r="S36" i="15"/>
  <c r="I45" i="15"/>
  <c r="J35" i="7"/>
  <c r="E22" i="13"/>
  <c r="E23" i="13"/>
  <c r="E24" i="13"/>
  <c r="E17" i="13"/>
  <c r="T44" i="15" l="1"/>
  <c r="T36" i="15"/>
  <c r="T39" i="15"/>
  <c r="T37" i="15"/>
  <c r="T34" i="15"/>
  <c r="T38" i="15"/>
  <c r="T42" i="15"/>
  <c r="H50" i="15" a="1"/>
  <c r="H50" i="15" s="1"/>
  <c r="T35" i="15"/>
  <c r="T43" i="15"/>
  <c r="T40" i="15"/>
  <c r="H51" i="15" a="1"/>
  <c r="H51" i="15" s="1"/>
  <c r="I10" i="15"/>
  <c r="I49" i="15" s="1" a="1"/>
  <c r="I49" i="15" s="1"/>
  <c r="J49" i="15" s="1"/>
  <c r="A41" i="25"/>
  <c r="J45" i="15"/>
  <c r="S45" i="15" s="1"/>
  <c r="E25" i="13"/>
  <c r="E26" i="13" s="1"/>
  <c r="E32" i="13"/>
  <c r="E31" i="13"/>
  <c r="I50" i="15" l="1" a="1"/>
  <c r="I50" i="15" s="1"/>
  <c r="J50" i="15" s="1"/>
  <c r="I51" i="15" a="1"/>
  <c r="I51" i="15" s="1"/>
  <c r="J51" i="15" s="1"/>
  <c r="J10" i="15"/>
  <c r="A40" i="25"/>
  <c r="R45" i="15"/>
  <c r="T45" i="15" s="1"/>
  <c r="E40" i="13"/>
  <c r="E34" i="13"/>
  <c r="E41" i="13"/>
  <c r="S33" i="15" l="1"/>
  <c r="R10" i="15"/>
  <c r="T33" i="15" s="1"/>
  <c r="A39" i="25"/>
  <c r="E33" i="13"/>
  <c r="E35" i="13" s="1"/>
  <c r="A38" i="25" l="1"/>
  <c r="E43" i="13"/>
  <c r="A37" i="25" l="1"/>
  <c r="E42" i="13"/>
  <c r="A36" i="25" l="1"/>
  <c r="E44" i="13"/>
  <c r="A35" i="25" l="1"/>
  <c r="E21" i="4"/>
  <c r="E20" i="4"/>
  <c r="E19" i="4"/>
  <c r="E18" i="4"/>
  <c r="E17" i="4"/>
  <c r="E16" i="4"/>
  <c r="E15" i="4"/>
  <c r="E14" i="4"/>
  <c r="A34" i="25" l="1"/>
  <c r="Q39" i="11"/>
  <c r="Q38" i="11"/>
  <c r="Q37" i="11"/>
  <c r="Q36" i="11"/>
  <c r="Q35" i="11"/>
  <c r="Q34" i="11"/>
  <c r="Q33" i="11"/>
  <c r="Q32" i="11"/>
  <c r="Q31" i="11"/>
  <c r="Q29" i="11"/>
  <c r="Q28" i="11"/>
  <c r="P39" i="11"/>
  <c r="P38" i="11"/>
  <c r="P37" i="11"/>
  <c r="P36" i="11"/>
  <c r="P35" i="11"/>
  <c r="P34" i="11"/>
  <c r="P33" i="11"/>
  <c r="P32" i="11"/>
  <c r="P31" i="11"/>
  <c r="P29" i="11"/>
  <c r="P28" i="11"/>
  <c r="O39" i="11"/>
  <c r="O38" i="11"/>
  <c r="O37" i="11"/>
  <c r="O36" i="11"/>
  <c r="O35" i="11"/>
  <c r="O34" i="11"/>
  <c r="O33" i="11"/>
  <c r="O32" i="11"/>
  <c r="O31" i="11"/>
  <c r="O29" i="11"/>
  <c r="O28" i="11"/>
  <c r="N39" i="11"/>
  <c r="N38" i="11"/>
  <c r="N37" i="11"/>
  <c r="N36" i="11"/>
  <c r="N35" i="11"/>
  <c r="N34" i="11"/>
  <c r="N33" i="11"/>
  <c r="N32" i="11"/>
  <c r="N31" i="11"/>
  <c r="N28" i="11"/>
  <c r="M39" i="11"/>
  <c r="M38" i="11"/>
  <c r="M37" i="11"/>
  <c r="M36" i="11"/>
  <c r="M35" i="11"/>
  <c r="M34" i="11"/>
  <c r="M33" i="11"/>
  <c r="M32" i="11"/>
  <c r="M31" i="11"/>
  <c r="M29" i="11"/>
  <c r="M28" i="11"/>
  <c r="L39" i="11"/>
  <c r="L38" i="11"/>
  <c r="L37" i="11"/>
  <c r="L36" i="11"/>
  <c r="L35" i="11"/>
  <c r="L34" i="11"/>
  <c r="L33" i="11"/>
  <c r="L32" i="11"/>
  <c r="L31" i="11"/>
  <c r="L29" i="11"/>
  <c r="L28" i="11"/>
  <c r="K39" i="11"/>
  <c r="K38" i="11"/>
  <c r="K37" i="11"/>
  <c r="K36" i="11"/>
  <c r="K35" i="11"/>
  <c r="K34" i="11"/>
  <c r="K33" i="11"/>
  <c r="K32" i="11"/>
  <c r="K31" i="11"/>
  <c r="K28" i="11"/>
  <c r="J39" i="11"/>
  <c r="J38" i="11"/>
  <c r="J37" i="11"/>
  <c r="J36" i="11"/>
  <c r="J35" i="11"/>
  <c r="J34" i="11"/>
  <c r="J33" i="11"/>
  <c r="J32" i="11"/>
  <c r="J31" i="11"/>
  <c r="J29" i="11"/>
  <c r="J28" i="11"/>
  <c r="G39" i="11"/>
  <c r="G38" i="11"/>
  <c r="G37" i="11"/>
  <c r="G36" i="11"/>
  <c r="G35" i="11"/>
  <c r="G34" i="11"/>
  <c r="G33" i="11"/>
  <c r="G32" i="11"/>
  <c r="G31" i="11"/>
  <c r="G29" i="11"/>
  <c r="G28" i="11"/>
  <c r="F39" i="11"/>
  <c r="F38" i="11"/>
  <c r="F37" i="11"/>
  <c r="F36" i="11"/>
  <c r="F35" i="11"/>
  <c r="F34" i="11"/>
  <c r="F33" i="11"/>
  <c r="F32" i="11"/>
  <c r="F31" i="11"/>
  <c r="F29" i="11"/>
  <c r="F28" i="11"/>
  <c r="D39" i="11"/>
  <c r="D38" i="11"/>
  <c r="D37" i="11"/>
  <c r="D36" i="11"/>
  <c r="D35" i="11"/>
  <c r="D34" i="11"/>
  <c r="D33" i="11"/>
  <c r="D32" i="11"/>
  <c r="D31" i="11"/>
  <c r="D29" i="11"/>
  <c r="D28" i="11"/>
  <c r="C39" i="11"/>
  <c r="C38" i="11"/>
  <c r="C37" i="11"/>
  <c r="C36" i="11"/>
  <c r="C35" i="11"/>
  <c r="C34" i="11"/>
  <c r="C33" i="11"/>
  <c r="C32" i="11"/>
  <c r="C31" i="11"/>
  <c r="C29" i="11"/>
  <c r="C28" i="11"/>
  <c r="S39" i="11"/>
  <c r="S38" i="11"/>
  <c r="S37" i="11"/>
  <c r="S36" i="11"/>
  <c r="S35" i="11"/>
  <c r="S34" i="11"/>
  <c r="S33" i="11"/>
  <c r="S32" i="11"/>
  <c r="S31" i="11"/>
  <c r="S29" i="11"/>
  <c r="S28" i="11"/>
  <c r="Q23" i="11"/>
  <c r="P23" i="11"/>
  <c r="O23" i="11"/>
  <c r="N23" i="11"/>
  <c r="M23" i="11"/>
  <c r="L23" i="11"/>
  <c r="K23" i="11"/>
  <c r="J23" i="11"/>
  <c r="A33" i="25" l="1"/>
  <c r="S23" i="11"/>
  <c r="R35" i="11"/>
  <c r="R36" i="11"/>
  <c r="R37" i="11"/>
  <c r="R38" i="11"/>
  <c r="R31" i="11"/>
  <c r="R28" i="11"/>
  <c r="R32" i="11"/>
  <c r="R39" i="11"/>
  <c r="R29" i="11"/>
  <c r="R33" i="11"/>
  <c r="R34" i="11"/>
  <c r="A32" i="25" l="1"/>
  <c r="R23" i="11"/>
  <c r="G23" i="11"/>
  <c r="F23" i="11"/>
  <c r="H22" i="11"/>
  <c r="H21" i="11"/>
  <c r="H20" i="11"/>
  <c r="H19" i="11"/>
  <c r="H18" i="11"/>
  <c r="H17" i="11"/>
  <c r="H16" i="11"/>
  <c r="H15" i="11"/>
  <c r="H14" i="11"/>
  <c r="H13" i="11"/>
  <c r="H30" i="11" s="1"/>
  <c r="H12" i="11"/>
  <c r="H11" i="11"/>
  <c r="D23" i="11"/>
  <c r="C23" i="11"/>
  <c r="B23" i="11"/>
  <c r="E22" i="11"/>
  <c r="E39" i="11" s="1"/>
  <c r="E21" i="11"/>
  <c r="E38" i="11" s="1"/>
  <c r="E20" i="11"/>
  <c r="E37" i="11" s="1"/>
  <c r="E19" i="11"/>
  <c r="E36" i="11" s="1"/>
  <c r="E18" i="11"/>
  <c r="E35" i="11" s="1"/>
  <c r="E17" i="11"/>
  <c r="E34" i="11" s="1"/>
  <c r="E16" i="11"/>
  <c r="E33" i="11" s="1"/>
  <c r="E15" i="11"/>
  <c r="E32" i="11" s="1"/>
  <c r="E14" i="11"/>
  <c r="E31" i="11" s="1"/>
  <c r="E13" i="11"/>
  <c r="E30" i="11" s="1"/>
  <c r="E12" i="11"/>
  <c r="E29" i="11" s="1"/>
  <c r="A12" i="11"/>
  <c r="E11" i="11"/>
  <c r="E28" i="11" s="1"/>
  <c r="M21" i="9"/>
  <c r="M22" i="9"/>
  <c r="V20" i="9"/>
  <c r="V23" i="9" s="1"/>
  <c r="W60" i="9" s="1"/>
  <c r="AH60" i="9" s="1"/>
  <c r="N20" i="9"/>
  <c r="N23" i="9" s="1"/>
  <c r="K38" i="9"/>
  <c r="AH70" i="9" s="1"/>
  <c r="H38" i="9"/>
  <c r="AE70" i="9" s="1"/>
  <c r="G38" i="9"/>
  <c r="AD70" i="9" s="1"/>
  <c r="F38" i="9"/>
  <c r="AC70" i="9" s="1"/>
  <c r="E38" i="9"/>
  <c r="AB70" i="9" s="1"/>
  <c r="W38" i="9"/>
  <c r="T38" i="9"/>
  <c r="S38" i="9"/>
  <c r="R38" i="9"/>
  <c r="Q38" i="9"/>
  <c r="Y23" i="9" l="1"/>
  <c r="S60" i="9"/>
  <c r="Q60" i="9"/>
  <c r="R60" i="9"/>
  <c r="T60" i="9"/>
  <c r="W63" i="9"/>
  <c r="AH63" i="9" s="1"/>
  <c r="W61" i="9"/>
  <c r="AH61" i="9" s="1"/>
  <c r="AC38" i="9"/>
  <c r="AB38" i="9"/>
  <c r="AD38" i="9"/>
  <c r="W28" i="9"/>
  <c r="AH28" i="9" s="1"/>
  <c r="AG23" i="9"/>
  <c r="AE38" i="9"/>
  <c r="AH38" i="9"/>
  <c r="A31" i="25"/>
  <c r="C40" i="11"/>
  <c r="O40" i="11"/>
  <c r="P40" i="11"/>
  <c r="Q40" i="11"/>
  <c r="N40" i="11"/>
  <c r="J40" i="11"/>
  <c r="K40" i="11"/>
  <c r="L40" i="11"/>
  <c r="M40" i="11"/>
  <c r="D40" i="11"/>
  <c r="F40" i="11"/>
  <c r="A13" i="11"/>
  <c r="A29" i="11"/>
  <c r="G40" i="11"/>
  <c r="S40" i="11"/>
  <c r="R40" i="11"/>
  <c r="T28" i="9"/>
  <c r="AE28" i="9" s="1"/>
  <c r="S28" i="9"/>
  <c r="AD28" i="9" s="1"/>
  <c r="R28" i="9"/>
  <c r="AC28" i="9" s="1"/>
  <c r="Q28" i="9"/>
  <c r="AB28" i="9" s="1"/>
  <c r="T15" i="11"/>
  <c r="T32" i="11" s="1"/>
  <c r="H32" i="11"/>
  <c r="T16" i="11"/>
  <c r="T33" i="11" s="1"/>
  <c r="H33" i="11"/>
  <c r="T17" i="11"/>
  <c r="T34" i="11" s="1"/>
  <c r="H34" i="11"/>
  <c r="T18" i="11"/>
  <c r="T35" i="11" s="1"/>
  <c r="H35" i="11"/>
  <c r="T19" i="11"/>
  <c r="T36" i="11" s="1"/>
  <c r="H36" i="11"/>
  <c r="T20" i="11"/>
  <c r="T37" i="11" s="1"/>
  <c r="H37" i="11"/>
  <c r="T21" i="11"/>
  <c r="T38" i="11" s="1"/>
  <c r="H38" i="11"/>
  <c r="T22" i="11"/>
  <c r="T39" i="11" s="1"/>
  <c r="H39" i="11"/>
  <c r="T11" i="11"/>
  <c r="T28" i="11" s="1"/>
  <c r="H28" i="11"/>
  <c r="T12" i="11"/>
  <c r="T29" i="11" s="1"/>
  <c r="H29" i="11"/>
  <c r="T13" i="11"/>
  <c r="T30" i="11" s="1"/>
  <c r="T14" i="11"/>
  <c r="T31" i="11" s="1"/>
  <c r="H31" i="11"/>
  <c r="E23" i="11"/>
  <c r="E40" i="11" s="1"/>
  <c r="H23" i="11"/>
  <c r="B14" i="10"/>
  <c r="AE60" i="9" l="1"/>
  <c r="T63" i="9"/>
  <c r="AE63" i="9" s="1"/>
  <c r="T61" i="9"/>
  <c r="AE61" i="9" s="1"/>
  <c r="AC60" i="9"/>
  <c r="R61" i="9"/>
  <c r="AC61" i="9" s="1"/>
  <c r="R63" i="9"/>
  <c r="AC63" i="9" s="1"/>
  <c r="AB60" i="9"/>
  <c r="Q61" i="9"/>
  <c r="AB61" i="9" s="1"/>
  <c r="Q63" i="9"/>
  <c r="AB63" i="9" s="1"/>
  <c r="AD60" i="9"/>
  <c r="S63" i="9"/>
  <c r="AD63" i="9" s="1"/>
  <c r="S61" i="9"/>
  <c r="AD61" i="9" s="1"/>
  <c r="W29" i="9"/>
  <c r="AH29" i="9" s="1"/>
  <c r="W31" i="9"/>
  <c r="AH31" i="9" s="1"/>
  <c r="A30" i="25"/>
  <c r="H40" i="11"/>
  <c r="T23" i="11"/>
  <c r="T40" i="11" s="1"/>
  <c r="A14" i="11"/>
  <c r="A30" i="11"/>
  <c r="Q31" i="9"/>
  <c r="AB31" i="9" s="1"/>
  <c r="Q29" i="9"/>
  <c r="AB29" i="9" s="1"/>
  <c r="R31" i="9"/>
  <c r="AC31" i="9" s="1"/>
  <c r="R29" i="9"/>
  <c r="AC29" i="9" s="1"/>
  <c r="S31" i="9"/>
  <c r="AD31" i="9" s="1"/>
  <c r="S29" i="9"/>
  <c r="AD29" i="9" s="1"/>
  <c r="T29" i="9"/>
  <c r="AE29" i="9" s="1"/>
  <c r="T31" i="9"/>
  <c r="AE31" i="9" s="1"/>
  <c r="A29" i="25" l="1"/>
  <c r="A15" i="11"/>
  <c r="A31" i="11"/>
  <c r="C18" i="10"/>
  <c r="D13" i="9"/>
  <c r="P13" i="9"/>
  <c r="AA13" i="9" l="1"/>
  <c r="P50" i="9"/>
  <c r="P49" i="9"/>
  <c r="P46" i="9"/>
  <c r="P47" i="9"/>
  <c r="P48" i="9"/>
  <c r="P65" i="9"/>
  <c r="O65" i="9" s="1"/>
  <c r="P62" i="9"/>
  <c r="P68" i="9"/>
  <c r="O68" i="9" s="1"/>
  <c r="AA45" i="9"/>
  <c r="P66" i="9"/>
  <c r="O66" i="9" s="1"/>
  <c r="P70" i="9"/>
  <c r="O70" i="9" s="1"/>
  <c r="A28" i="25"/>
  <c r="A16" i="11"/>
  <c r="A32" i="11"/>
  <c r="P36" i="9"/>
  <c r="P34" i="9"/>
  <c r="P33" i="9"/>
  <c r="P17" i="9"/>
  <c r="P15" i="9"/>
  <c r="P30" i="9"/>
  <c r="P18" i="9"/>
  <c r="P16" i="9"/>
  <c r="AA16" i="9" s="1"/>
  <c r="P14" i="9"/>
  <c r="AA14" i="9" s="1"/>
  <c r="P38" i="9"/>
  <c r="D36" i="9"/>
  <c r="D34" i="9"/>
  <c r="D16" i="9"/>
  <c r="D15" i="9"/>
  <c r="D33" i="9"/>
  <c r="D17" i="9"/>
  <c r="AA49" i="9" s="1"/>
  <c r="D30" i="9"/>
  <c r="D14" i="9"/>
  <c r="D18" i="9"/>
  <c r="AA50" i="9" s="1"/>
  <c r="D38" i="9"/>
  <c r="K32" i="8"/>
  <c r="K24" i="8"/>
  <c r="K23" i="8"/>
  <c r="K22" i="8"/>
  <c r="K21" i="8"/>
  <c r="K15" i="8"/>
  <c r="M32" i="8"/>
  <c r="M24" i="8"/>
  <c r="M23" i="8"/>
  <c r="M22" i="8"/>
  <c r="M21" i="8"/>
  <c r="M15" i="8"/>
  <c r="Q32" i="8"/>
  <c r="Q24" i="8"/>
  <c r="Q23" i="8"/>
  <c r="Q22" i="8"/>
  <c r="Q21" i="8"/>
  <c r="Q15" i="8"/>
  <c r="O32" i="8"/>
  <c r="W32" i="8" s="1"/>
  <c r="O24" i="8"/>
  <c r="W24" i="8" s="1"/>
  <c r="O23" i="8"/>
  <c r="O22" i="8"/>
  <c r="W22" i="8" s="1"/>
  <c r="O21" i="8"/>
  <c r="W21" i="8" s="1"/>
  <c r="O15" i="8"/>
  <c r="I32" i="8"/>
  <c r="AC32" i="8" s="1"/>
  <c r="I24" i="8"/>
  <c r="I23" i="8"/>
  <c r="I22" i="8"/>
  <c r="I21" i="8"/>
  <c r="I15" i="8"/>
  <c r="G32" i="8"/>
  <c r="G24" i="8"/>
  <c r="G23" i="8"/>
  <c r="G22" i="8"/>
  <c r="G21" i="8"/>
  <c r="G15" i="8"/>
  <c r="G18" i="8" s="1"/>
  <c r="E32" i="8"/>
  <c r="E24" i="8"/>
  <c r="E23" i="8"/>
  <c r="E22" i="8"/>
  <c r="E21" i="8"/>
  <c r="E15" i="8"/>
  <c r="E18" i="8" s="1"/>
  <c r="C32" i="8"/>
  <c r="C24" i="8"/>
  <c r="C23" i="8"/>
  <c r="C22" i="8"/>
  <c r="C21" i="8"/>
  <c r="C15" i="8"/>
  <c r="C18" i="8" s="1"/>
  <c r="C38" i="9" l="1"/>
  <c r="Z70" i="9" s="1"/>
  <c r="AA70" i="9"/>
  <c r="C30" i="9"/>
  <c r="AA62" i="9"/>
  <c r="AA15" i="9"/>
  <c r="O62" i="9"/>
  <c r="Z62" i="9" s="1"/>
  <c r="C33" i="9"/>
  <c r="Z65" i="9" s="1"/>
  <c r="AA65" i="9"/>
  <c r="AA48" i="9"/>
  <c r="W23" i="8"/>
  <c r="AA47" i="9"/>
  <c r="P56" i="9"/>
  <c r="P57" i="9" s="1"/>
  <c r="AA46" i="9"/>
  <c r="P58" i="9"/>
  <c r="P59" i="9" s="1"/>
  <c r="C34" i="9"/>
  <c r="Z66" i="9" s="1"/>
  <c r="AA66" i="9"/>
  <c r="C36" i="9"/>
  <c r="Z68" i="9" s="1"/>
  <c r="AA68" i="9"/>
  <c r="AA17" i="9"/>
  <c r="AA32" i="8"/>
  <c r="Y32" i="8"/>
  <c r="AE32" i="8"/>
  <c r="S32" i="8"/>
  <c r="O18" i="8"/>
  <c r="W15" i="8"/>
  <c r="M18" i="8"/>
  <c r="U15" i="8"/>
  <c r="AG15" i="8"/>
  <c r="AG23" i="8"/>
  <c r="U23" i="8"/>
  <c r="AG24" i="8"/>
  <c r="U24" i="8"/>
  <c r="U22" i="8"/>
  <c r="AG22" i="8"/>
  <c r="U32" i="8"/>
  <c r="AG32" i="8"/>
  <c r="I18" i="8"/>
  <c r="AC18" i="8" s="1"/>
  <c r="AC15" i="8"/>
  <c r="Q18" i="8"/>
  <c r="AA15" i="8"/>
  <c r="Y15" i="8"/>
  <c r="K18" i="8"/>
  <c r="AE15" i="8"/>
  <c r="S15" i="8"/>
  <c r="AC21" i="8"/>
  <c r="AA21" i="8"/>
  <c r="Y21" i="8"/>
  <c r="AE21" i="8"/>
  <c r="S21" i="8"/>
  <c r="AC22" i="8"/>
  <c r="Y22" i="8"/>
  <c r="AA22" i="8"/>
  <c r="AE22" i="8"/>
  <c r="S22" i="8"/>
  <c r="AG21" i="8"/>
  <c r="U21" i="8"/>
  <c r="AC23" i="8"/>
  <c r="AA23" i="8"/>
  <c r="Y23" i="8"/>
  <c r="S23" i="8"/>
  <c r="AE23" i="8"/>
  <c r="AC24" i="8"/>
  <c r="AA24" i="8"/>
  <c r="Y24" i="8"/>
  <c r="AE24" i="8"/>
  <c r="S24" i="8"/>
  <c r="O33" i="9"/>
  <c r="Z33" i="9" s="1"/>
  <c r="AA33" i="9"/>
  <c r="O34" i="9"/>
  <c r="AA34" i="9"/>
  <c r="AA18" i="9"/>
  <c r="O36" i="9"/>
  <c r="Z36" i="9" s="1"/>
  <c r="AA36" i="9"/>
  <c r="O30" i="9"/>
  <c r="Z30" i="9" s="1"/>
  <c r="AA30" i="9"/>
  <c r="O38" i="9"/>
  <c r="AA38" i="9"/>
  <c r="A27" i="25"/>
  <c r="A17" i="11"/>
  <c r="A33" i="11"/>
  <c r="D26" i="9"/>
  <c r="P26" i="9"/>
  <c r="P24" i="9"/>
  <c r="D24" i="9"/>
  <c r="D18" i="8"/>
  <c r="J18" i="8"/>
  <c r="M30" i="8"/>
  <c r="H30" i="8"/>
  <c r="AB30" i="8" s="1"/>
  <c r="L18" i="8"/>
  <c r="J30" i="8"/>
  <c r="K30" i="8"/>
  <c r="F18" i="8"/>
  <c r="H18" i="8"/>
  <c r="L30" i="8"/>
  <c r="B30" i="8"/>
  <c r="Q30" i="8"/>
  <c r="B18" i="8"/>
  <c r="F30" i="8"/>
  <c r="I30" i="8"/>
  <c r="O30" i="8"/>
  <c r="C30" i="8"/>
  <c r="C33" i="8" s="1"/>
  <c r="N30" i="8"/>
  <c r="E30" i="8"/>
  <c r="E33" i="8" s="1"/>
  <c r="E36" i="8" s="1"/>
  <c r="P30" i="8"/>
  <c r="G30" i="8"/>
  <c r="G33" i="8" s="1"/>
  <c r="G36" i="8" s="1"/>
  <c r="N18" i="8"/>
  <c r="D30" i="8"/>
  <c r="P18" i="8"/>
  <c r="V30" i="8" l="1"/>
  <c r="D25" i="9"/>
  <c r="AA57" i="9" s="1"/>
  <c r="AA56" i="9"/>
  <c r="P60" i="9"/>
  <c r="D27" i="9"/>
  <c r="AA59" i="9" s="1"/>
  <c r="AA58" i="9"/>
  <c r="Z34" i="9"/>
  <c r="J33" i="8"/>
  <c r="AD30" i="8"/>
  <c r="R30" i="8"/>
  <c r="S18" i="8"/>
  <c r="AE18" i="8"/>
  <c r="O33" i="8"/>
  <c r="W30" i="8"/>
  <c r="I33" i="8"/>
  <c r="AC30" i="8"/>
  <c r="M33" i="8"/>
  <c r="AG30" i="8"/>
  <c r="U30" i="8"/>
  <c r="Y18" i="8"/>
  <c r="AA18" i="8"/>
  <c r="T18" i="8"/>
  <c r="AF18" i="8"/>
  <c r="R18" i="8"/>
  <c r="AD18" i="8"/>
  <c r="U18" i="8"/>
  <c r="AG18" i="8"/>
  <c r="K33" i="8"/>
  <c r="S30" i="8"/>
  <c r="AE30" i="8"/>
  <c r="W18" i="8"/>
  <c r="B12" i="10"/>
  <c r="X18" i="8"/>
  <c r="Z18" i="8"/>
  <c r="Q33" i="8"/>
  <c r="AA30" i="8"/>
  <c r="Y30" i="8"/>
  <c r="V18" i="8"/>
  <c r="AF30" i="8"/>
  <c r="T30" i="8"/>
  <c r="AB18" i="8"/>
  <c r="Z30" i="8"/>
  <c r="X30" i="8"/>
  <c r="C20" i="10"/>
  <c r="C23" i="10" s="1"/>
  <c r="Z38" i="9"/>
  <c r="P27" i="9"/>
  <c r="AA27" i="9" s="1"/>
  <c r="AA26" i="9"/>
  <c r="P25" i="9"/>
  <c r="AA25" i="9" s="1"/>
  <c r="AA24" i="9"/>
  <c r="A26" i="25"/>
  <c r="D33" i="8"/>
  <c r="D36" i="8" s="1"/>
  <c r="A18" i="11"/>
  <c r="A34" i="11"/>
  <c r="B13" i="10"/>
  <c r="C13" i="10" s="1"/>
  <c r="C12" i="10"/>
  <c r="H33" i="8"/>
  <c r="F33" i="8"/>
  <c r="F36" i="8" s="1"/>
  <c r="L33" i="8"/>
  <c r="P33" i="8"/>
  <c r="B33" i="8"/>
  <c r="N33" i="8"/>
  <c r="D28" i="9" l="1"/>
  <c r="D29" i="9" s="1"/>
  <c r="P61" i="9"/>
  <c r="P63" i="9"/>
  <c r="K36" i="8"/>
  <c r="S33" i="8"/>
  <c r="AE33" i="8"/>
  <c r="I36" i="8"/>
  <c r="AC33" i="8"/>
  <c r="M36" i="8"/>
  <c r="AG33" i="8"/>
  <c r="U33" i="8"/>
  <c r="O36" i="8"/>
  <c r="W33" i="8"/>
  <c r="N36" i="8"/>
  <c r="V36" i="8" s="1"/>
  <c r="V33" i="8"/>
  <c r="Z33" i="8"/>
  <c r="X33" i="8"/>
  <c r="L36" i="8"/>
  <c r="AF33" i="8"/>
  <c r="T33" i="8"/>
  <c r="Q36" i="8"/>
  <c r="Y33" i="8"/>
  <c r="AA33" i="8"/>
  <c r="H36" i="8"/>
  <c r="AB33" i="8"/>
  <c r="J36" i="8"/>
  <c r="R33" i="8"/>
  <c r="AD33" i="8"/>
  <c r="P28" i="9"/>
  <c r="P31" i="9" s="1"/>
  <c r="A25" i="25"/>
  <c r="D31" i="9"/>
  <c r="A19" i="11"/>
  <c r="A35" i="11"/>
  <c r="P36" i="8"/>
  <c r="AA61" i="9" l="1"/>
  <c r="AA60" i="9"/>
  <c r="AA63" i="9"/>
  <c r="W36" i="8"/>
  <c r="AA31" i="9"/>
  <c r="U36" i="8"/>
  <c r="AG36" i="8"/>
  <c r="AD36" i="8"/>
  <c r="R36" i="8"/>
  <c r="AA36" i="8"/>
  <c r="Y36" i="8"/>
  <c r="T36" i="8"/>
  <c r="AF36" i="8"/>
  <c r="Z36" i="8"/>
  <c r="X36" i="8"/>
  <c r="AE36" i="8"/>
  <c r="S36" i="8"/>
  <c r="P29" i="9"/>
  <c r="AA29" i="9" s="1"/>
  <c r="AA28" i="9"/>
  <c r="A24" i="25"/>
  <c r="A20" i="11"/>
  <c r="A36" i="11"/>
  <c r="C14" i="10"/>
  <c r="C15" i="10" s="1"/>
  <c r="B15" i="10"/>
  <c r="K23" i="7"/>
  <c r="A23" i="25" l="1"/>
  <c r="A21" i="11"/>
  <c r="A37" i="11"/>
  <c r="M33" i="7"/>
  <c r="C24" i="10"/>
  <c r="C25" i="10" s="1"/>
  <c r="M23" i="7"/>
  <c r="A22" i="25" l="1"/>
  <c r="A22" i="11"/>
  <c r="A39" i="11" s="1"/>
  <c r="A38" i="11"/>
  <c r="C33" i="7"/>
  <c r="F14" i="7"/>
  <c r="C14" i="7"/>
  <c r="C23" i="7"/>
  <c r="J25" i="7"/>
  <c r="A21" i="25" l="1"/>
  <c r="J24" i="7"/>
  <c r="C24" i="7"/>
  <c r="C25" i="7" s="1"/>
  <c r="C34" i="7"/>
  <c r="E35" i="7" s="1"/>
  <c r="C15" i="7"/>
  <c r="D16" i="7" s="1"/>
  <c r="F33" i="7"/>
  <c r="I43" i="7" s="1"/>
  <c r="F23" i="7"/>
  <c r="J23" i="7"/>
  <c r="A20" i="25" l="1"/>
  <c r="E46" i="7"/>
  <c r="M45" i="7" s="1"/>
  <c r="E36" i="7"/>
  <c r="E26" i="7"/>
  <c r="D25" i="7"/>
  <c r="E25" i="7"/>
  <c r="I33" i="7"/>
  <c r="D35" i="7"/>
  <c r="K45" i="7" s="1"/>
  <c r="L45" i="7" s="1"/>
  <c r="N45" i="7" s="1" a="1"/>
  <c r="N45" i="7" s="1"/>
  <c r="O45" i="7" s="1"/>
  <c r="I23" i="7"/>
  <c r="C35" i="7"/>
  <c r="C16" i="7"/>
  <c r="F34" i="7"/>
  <c r="I44" i="7" s="1"/>
  <c r="A19" i="25" l="1"/>
  <c r="M35" i="7"/>
  <c r="F35" i="7"/>
  <c r="I45" i="7" s="1"/>
  <c r="K35" i="7"/>
  <c r="E16" i="7"/>
  <c r="M25" i="7" s="1"/>
  <c r="F15" i="7"/>
  <c r="F16" i="7" s="1"/>
  <c r="A18" i="25" l="1"/>
  <c r="G14" i="4"/>
  <c r="H14" i="4"/>
  <c r="G15" i="4"/>
  <c r="H15" i="4"/>
  <c r="G16" i="4"/>
  <c r="H16" i="4"/>
  <c r="G17" i="4"/>
  <c r="H17" i="4"/>
  <c r="G18" i="4"/>
  <c r="H18" i="4"/>
  <c r="G19" i="4"/>
  <c r="H19" i="4"/>
  <c r="G20" i="4"/>
  <c r="H20" i="4"/>
  <c r="G21" i="4"/>
  <c r="H21" i="4"/>
  <c r="A17" i="25" l="1"/>
  <c r="J20" i="4"/>
  <c r="K19" i="4"/>
  <c r="J18" i="4"/>
  <c r="J19" i="4"/>
  <c r="J15" i="4"/>
  <c r="J21" i="4"/>
  <c r="J17" i="4"/>
  <c r="K32" i="4"/>
  <c r="E22" i="4"/>
  <c r="J32" i="4"/>
  <c r="K18" i="4"/>
  <c r="L18" i="4" s="1"/>
  <c r="K17" i="4"/>
  <c r="K16" i="4"/>
  <c r="K20" i="4"/>
  <c r="K15" i="4"/>
  <c r="I16" i="4"/>
  <c r="J16" i="4"/>
  <c r="F22" i="4"/>
  <c r="I21" i="4"/>
  <c r="K21" i="4"/>
  <c r="H25" i="4"/>
  <c r="H26" i="4" s="1"/>
  <c r="I18" i="4"/>
  <c r="J29" i="4"/>
  <c r="I19" i="4"/>
  <c r="G25" i="4"/>
  <c r="I17" i="4"/>
  <c r="K29" i="4"/>
  <c r="I15" i="4"/>
  <c r="I14" i="4"/>
  <c r="I20" i="4"/>
  <c r="L21" i="4" l="1"/>
  <c r="L19" i="4"/>
  <c r="A16" i="25"/>
  <c r="L20" i="4"/>
  <c r="L17" i="4"/>
  <c r="L15" i="4"/>
  <c r="L16" i="4"/>
  <c r="J30" i="4"/>
  <c r="L32" i="4"/>
  <c r="J33" i="4"/>
  <c r="L29" i="4"/>
  <c r="G26" i="4"/>
  <c r="K24" i="7"/>
  <c r="F24" i="7"/>
  <c r="F25" i="7" s="1"/>
  <c r="A15" i="25" l="1"/>
  <c r="I35" i="7"/>
  <c r="I34" i="7"/>
  <c r="M34" i="7"/>
  <c r="M24" i="7"/>
  <c r="I24" i="7"/>
  <c r="K25" i="7"/>
  <c r="A14" i="25" l="1"/>
  <c r="I25" i="7"/>
  <c r="A13" i="25" l="1"/>
  <c r="L35" i="7"/>
  <c r="N35" i="7" s="1" a="1"/>
  <c r="N35" i="7" s="1"/>
  <c r="L25" i="7"/>
  <c r="A12" i="25" l="1"/>
  <c r="N25" i="7" a="1"/>
  <c r="N25" i="7" s="1"/>
  <c r="O25" i="7" s="1"/>
  <c r="O35" i="7"/>
  <c r="A11" i="25" l="1"/>
  <c r="B36" i="8"/>
  <c r="AB36" i="8" s="1"/>
  <c r="C36" i="8"/>
  <c r="AC36" i="8" s="1"/>
  <c r="P12" i="25" l="1" a="1"/>
  <c r="P12" i="25" s="1"/>
  <c r="C12" i="25" s="1"/>
  <c r="E12" i="25" s="1"/>
  <c r="G50" i="25" a="1"/>
  <c r="G50" i="25" s="1"/>
  <c r="P37" i="25" a="1"/>
  <c r="P37" i="25" s="1"/>
  <c r="C37" i="25" s="1"/>
  <c r="E37" i="25" s="1"/>
  <c r="H37" i="25" s="1"/>
  <c r="I37" i="25" s="1"/>
  <c r="J37" i="25" s="1"/>
  <c r="P25" i="25" a="1"/>
  <c r="P25" i="25" s="1"/>
  <c r="C25" i="25" s="1"/>
  <c r="E25" i="25" s="1"/>
  <c r="P14" i="25" a="1"/>
  <c r="P14" i="25" s="1"/>
  <c r="C14" i="25" s="1"/>
  <c r="E14" i="25" s="1"/>
  <c r="P26" i="25" a="1"/>
  <c r="P26" i="25" s="1"/>
  <c r="C26" i="25" s="1"/>
  <c r="E26" i="25" s="1"/>
  <c r="H26" i="25" s="1"/>
  <c r="I26" i="25" s="1"/>
  <c r="J26" i="25" s="1"/>
  <c r="B52" i="25" a="1"/>
  <c r="B52" i="25" s="1"/>
  <c r="P34" i="25" a="1"/>
  <c r="P34" i="25" s="1"/>
  <c r="C34" i="25" s="1"/>
  <c r="E34" i="25" s="1"/>
  <c r="P24" i="25" a="1"/>
  <c r="P24" i="25" s="1"/>
  <c r="C24" i="25" s="1"/>
  <c r="E24" i="25" s="1"/>
  <c r="P13" i="25" a="1"/>
  <c r="P13" i="25" s="1"/>
  <c r="C13" i="25" s="1"/>
  <c r="E13" i="25" s="1"/>
  <c r="H13" i="25" s="1"/>
  <c r="I13" i="25" s="1"/>
  <c r="J13" i="25" s="1"/>
  <c r="F52" i="25" a="1"/>
  <c r="F52" i="25" s="1"/>
  <c r="F51" i="25" a="1"/>
  <c r="F51" i="25" s="1"/>
  <c r="P33" i="25" a="1"/>
  <c r="P33" i="25" s="1"/>
  <c r="C33" i="25" s="1"/>
  <c r="E33" i="25" s="1"/>
  <c r="H33" i="25" s="1"/>
  <c r="I33" i="25" s="1"/>
  <c r="J33" i="25" s="1"/>
  <c r="P23" i="25" a="1"/>
  <c r="P23" i="25" s="1"/>
  <c r="C23" i="25" s="1"/>
  <c r="E23" i="25" s="1"/>
  <c r="H23" i="25" s="1"/>
  <c r="I23" i="25" s="1"/>
  <c r="J23" i="25" s="1"/>
  <c r="B51" i="25" a="1"/>
  <c r="B51" i="25" s="1"/>
  <c r="B50" i="25" a="1"/>
  <c r="B50" i="25" s="1"/>
  <c r="P32" i="25" a="1"/>
  <c r="P32" i="25" s="1"/>
  <c r="C32" i="25" s="1"/>
  <c r="E32" i="25" s="1"/>
  <c r="P22" i="25" a="1"/>
  <c r="P22" i="25" s="1"/>
  <c r="C22" i="25" s="1"/>
  <c r="E22" i="25" s="1"/>
  <c r="F50" i="25" a="1"/>
  <c r="F50" i="25" s="1"/>
  <c r="P46" i="25" a="1"/>
  <c r="P46" i="25" s="1"/>
  <c r="C46" i="25" s="1"/>
  <c r="E46" i="25" s="1"/>
  <c r="P21" i="25" a="1"/>
  <c r="P21" i="25" s="1"/>
  <c r="C21" i="25" s="1"/>
  <c r="E21" i="25" s="1"/>
  <c r="H21" i="25" s="1"/>
  <c r="I21" i="25" s="1"/>
  <c r="J21" i="25" s="1"/>
  <c r="P17" i="25" a="1"/>
  <c r="P17" i="25" s="1"/>
  <c r="C17" i="25" s="1"/>
  <c r="E17" i="25" s="1"/>
  <c r="H17" i="25" s="1"/>
  <c r="I17" i="25" s="1"/>
  <c r="J17" i="25" s="1"/>
  <c r="P44" i="25" a="1"/>
  <c r="P44" i="25" s="1"/>
  <c r="C44" i="25" s="1"/>
  <c r="E44" i="25" s="1"/>
  <c r="H44" i="25" s="1"/>
  <c r="I44" i="25" s="1"/>
  <c r="J44" i="25" s="1"/>
  <c r="P11" i="25" a="1"/>
  <c r="P11" i="25" s="1"/>
  <c r="C11" i="25" s="1"/>
  <c r="E11" i="25" s="1"/>
  <c r="P20" i="25" a="1"/>
  <c r="P20" i="25" s="1"/>
  <c r="C20" i="25" s="1"/>
  <c r="E20" i="25" s="1"/>
  <c r="H20" i="25" s="1"/>
  <c r="I20" i="25" s="1"/>
  <c r="J20" i="25" s="1"/>
  <c r="P18" i="25" a="1"/>
  <c r="P18" i="25" s="1"/>
  <c r="C18" i="25" s="1"/>
  <c r="E18" i="25" s="1"/>
  <c r="P15" i="25" a="1"/>
  <c r="P15" i="25" s="1"/>
  <c r="C15" i="25" s="1"/>
  <c r="E15" i="25" s="1"/>
  <c r="P40" i="25" a="1"/>
  <c r="P40" i="25" s="1"/>
  <c r="C40" i="25" s="1"/>
  <c r="E40" i="25" s="1"/>
  <c r="G52" i="25" a="1"/>
  <c r="G52" i="25" s="1"/>
  <c r="P31" i="25" a="1"/>
  <c r="P31" i="25" s="1"/>
  <c r="C31" i="25" s="1"/>
  <c r="E31" i="25" s="1"/>
  <c r="H31" i="25" s="1"/>
  <c r="I31" i="25" s="1"/>
  <c r="J31" i="25" s="1"/>
  <c r="P45" i="25" a="1"/>
  <c r="P45" i="25" s="1"/>
  <c r="C45" i="25" s="1"/>
  <c r="E45" i="25" s="1"/>
  <c r="P36" i="25" a="1"/>
  <c r="P36" i="25" s="1"/>
  <c r="Q36" i="25" s="1"/>
  <c r="P43" i="25" a="1"/>
  <c r="P43" i="25" s="1"/>
  <c r="C43" i="25" s="1"/>
  <c r="E43" i="25" s="1"/>
  <c r="H43" i="25" s="1"/>
  <c r="I43" i="25" s="1"/>
  <c r="J43" i="25" s="1"/>
  <c r="P30" i="25" a="1"/>
  <c r="P30" i="25" s="1"/>
  <c r="C30" i="25" s="1"/>
  <c r="E30" i="25" s="1"/>
  <c r="P19" i="25" a="1"/>
  <c r="P19" i="25" s="1"/>
  <c r="C19" i="25" s="1"/>
  <c r="E19" i="25" s="1"/>
  <c r="H19" i="25" s="1"/>
  <c r="I19" i="25" s="1"/>
  <c r="J19" i="25" s="1"/>
  <c r="P38" i="25" a="1"/>
  <c r="P38" i="25" s="1"/>
  <c r="C38" i="25" s="1"/>
  <c r="E38" i="25" s="1"/>
  <c r="P35" i="25" a="1"/>
  <c r="P35" i="25" s="1"/>
  <c r="C35" i="25" s="1"/>
  <c r="E35" i="25" s="1"/>
  <c r="H35" i="25" s="1"/>
  <c r="I35" i="25" s="1"/>
  <c r="J35" i="25" s="1"/>
  <c r="P42" i="25" a="1"/>
  <c r="P42" i="25" s="1"/>
  <c r="C42" i="25" s="1"/>
  <c r="E42" i="25" s="1"/>
  <c r="P29" i="25" a="1"/>
  <c r="P29" i="25" s="1"/>
  <c r="C29" i="25" s="1"/>
  <c r="E29" i="25" s="1"/>
  <c r="P28" i="25" a="1"/>
  <c r="P28" i="25" s="1"/>
  <c r="C28" i="25" s="1"/>
  <c r="E28" i="25" s="1"/>
  <c r="P41" i="25" a="1"/>
  <c r="P41" i="25" s="1"/>
  <c r="C41" i="25" s="1"/>
  <c r="E41" i="25" s="1"/>
  <c r="P39" i="25" a="1"/>
  <c r="P39" i="25" s="1"/>
  <c r="C39" i="25" s="1"/>
  <c r="E39" i="25" s="1"/>
  <c r="P27" i="25" a="1"/>
  <c r="P27" i="25" s="1"/>
  <c r="C27" i="25" s="1"/>
  <c r="E27" i="25" s="1"/>
  <c r="H27" i="25" s="1"/>
  <c r="I27" i="25" s="1"/>
  <c r="J27" i="25" s="1"/>
  <c r="P16" i="25" a="1"/>
  <c r="P16" i="25" s="1"/>
  <c r="C16" i="25" s="1"/>
  <c r="E16" i="25" s="1"/>
  <c r="H16" i="25" s="1"/>
  <c r="I16" i="25" s="1"/>
  <c r="J16" i="25" s="1"/>
  <c r="G51" i="25" a="1"/>
  <c r="G51" i="25" s="1"/>
  <c r="Q45" i="25"/>
  <c r="Q44" i="25"/>
  <c r="Q37" i="25"/>
  <c r="Q34" i="25"/>
  <c r="Q33" i="25"/>
  <c r="Q32" i="25"/>
  <c r="Q25" i="25"/>
  <c r="Q22" i="25"/>
  <c r="C11" i="4"/>
  <c r="C6" i="13"/>
  <c r="Q46" i="25" l="1"/>
  <c r="Q40" i="25"/>
  <c r="R37" i="25"/>
  <c r="Q18" i="25"/>
  <c r="Q42" i="25"/>
  <c r="Q20" i="25"/>
  <c r="R20" i="25" s="1"/>
  <c r="Q28" i="25"/>
  <c r="R33" i="25"/>
  <c r="R44" i="25"/>
  <c r="Q29" i="25"/>
  <c r="Q41" i="25"/>
  <c r="Q30" i="25"/>
  <c r="Q19" i="25"/>
  <c r="Q21" i="25"/>
  <c r="R21" i="25" s="1"/>
  <c r="Q17" i="25"/>
  <c r="R17" i="25" s="1"/>
  <c r="Q13" i="25"/>
  <c r="R13" i="25" s="1"/>
  <c r="Q24" i="25"/>
  <c r="Q31" i="25"/>
  <c r="R31" i="25" s="1"/>
  <c r="Q43" i="25"/>
  <c r="R43" i="25" s="1"/>
  <c r="H11" i="25"/>
  <c r="R19" i="25"/>
  <c r="H38" i="25"/>
  <c r="I38" i="25" s="1"/>
  <c r="J38" i="25" s="1"/>
  <c r="Q23" i="25"/>
  <c r="R23" i="25" s="1"/>
  <c r="Q35" i="25"/>
  <c r="R35" i="25" s="1"/>
  <c r="H30" i="25"/>
  <c r="I30" i="25" s="1"/>
  <c r="J30" i="25" s="1"/>
  <c r="H24" i="25"/>
  <c r="I24" i="25" s="1"/>
  <c r="J24" i="25" s="1"/>
  <c r="C36" i="25"/>
  <c r="C52" i="25" s="1" a="1"/>
  <c r="C52" i="25" s="1"/>
  <c r="Q12" i="25"/>
  <c r="H46" i="25"/>
  <c r="I46" i="25" s="1"/>
  <c r="J46" i="25" s="1"/>
  <c r="R46" i="25" s="1"/>
  <c r="H34" i="25"/>
  <c r="I34" i="25" s="1"/>
  <c r="J34" i="25" s="1"/>
  <c r="Q14" i="25"/>
  <c r="Q26" i="25"/>
  <c r="R26" i="25" s="1"/>
  <c r="Q38" i="25"/>
  <c r="H45" i="25"/>
  <c r="I45" i="25" s="1"/>
  <c r="J45" i="25" s="1"/>
  <c r="R45" i="25" s="1"/>
  <c r="H39" i="25"/>
  <c r="I39" i="25" s="1"/>
  <c r="J39" i="25" s="1"/>
  <c r="H22" i="25"/>
  <c r="I22" i="25" s="1"/>
  <c r="J22" i="25" s="1"/>
  <c r="R22" i="25" s="1"/>
  <c r="Q15" i="25"/>
  <c r="Q27" i="25"/>
  <c r="R27" i="25" s="1"/>
  <c r="Q39" i="25"/>
  <c r="Q16" i="25"/>
  <c r="R16" i="25" s="1"/>
  <c r="H41" i="25"/>
  <c r="I41" i="25" s="1"/>
  <c r="J41" i="25" s="1"/>
  <c r="R41" i="25" s="1"/>
  <c r="H32" i="25"/>
  <c r="I32" i="25" s="1"/>
  <c r="J32" i="25" s="1"/>
  <c r="R32" i="25" s="1"/>
  <c r="H14" i="25"/>
  <c r="I14" i="25" s="1"/>
  <c r="J14" i="25" s="1"/>
  <c r="H28" i="25"/>
  <c r="I28" i="25" s="1"/>
  <c r="J28" i="25" s="1"/>
  <c r="H40" i="25"/>
  <c r="I40" i="25" s="1"/>
  <c r="J40" i="25" s="1"/>
  <c r="R40" i="25" s="1"/>
  <c r="H25" i="25"/>
  <c r="I25" i="25" s="1"/>
  <c r="J25" i="25" s="1"/>
  <c r="H29" i="25"/>
  <c r="I29" i="25" s="1"/>
  <c r="J29" i="25" s="1"/>
  <c r="H15" i="25"/>
  <c r="I15" i="25" s="1"/>
  <c r="J15" i="25" s="1"/>
  <c r="H42" i="25"/>
  <c r="I42" i="25" s="1"/>
  <c r="J42" i="25" s="1"/>
  <c r="H18" i="25"/>
  <c r="I18" i="25" s="1"/>
  <c r="J18" i="25" s="1"/>
  <c r="R18" i="25" s="1"/>
  <c r="Q11" i="25"/>
  <c r="H12" i="25"/>
  <c r="I12" i="25" s="1"/>
  <c r="J12" i="25" s="1"/>
  <c r="R42" i="25" l="1"/>
  <c r="C50" i="25" a="1"/>
  <c r="C50" i="25" s="1"/>
  <c r="R38" i="25"/>
  <c r="R30" i="25"/>
  <c r="R28" i="25"/>
  <c r="R34" i="25"/>
  <c r="R29" i="25"/>
  <c r="R12" i="25"/>
  <c r="E36" i="25"/>
  <c r="C51" i="25" a="1"/>
  <c r="C51" i="25" s="1"/>
  <c r="S35" i="25"/>
  <c r="R39" i="25"/>
  <c r="R24" i="25"/>
  <c r="R14" i="25"/>
  <c r="R15" i="25"/>
  <c r="R25" i="25"/>
  <c r="I11" i="25"/>
  <c r="T35" i="25" l="1"/>
  <c r="J11" i="25"/>
  <c r="H36" i="25"/>
  <c r="I36" i="25" s="1"/>
  <c r="E52" i="25" a="1"/>
  <c r="E52" i="25" s="1"/>
  <c r="E51" i="25" a="1"/>
  <c r="E51" i="25" s="1"/>
  <c r="E50" i="25" a="1"/>
  <c r="E50" i="25" s="1"/>
  <c r="J36" i="25" l="1"/>
  <c r="R36" i="25" s="1"/>
  <c r="I51" i="25" a="1"/>
  <c r="I51" i="25" s="1"/>
  <c r="J51" i="25" s="1"/>
  <c r="I52" i="25" a="1"/>
  <c r="I52" i="25" s="1"/>
  <c r="J52" i="25" s="1"/>
  <c r="I50" i="25" a="1"/>
  <c r="I50" i="25" s="1"/>
  <c r="J50" i="25" s="1"/>
  <c r="S34" i="25"/>
  <c r="R11" i="25"/>
  <c r="T34" i="25" s="1"/>
  <c r="S40" i="25"/>
  <c r="H51" i="25" a="1"/>
  <c r="H51" i="25" s="1"/>
  <c r="H50" i="25" a="1"/>
  <c r="H50" i="25" s="1"/>
  <c r="H52" i="25" a="1"/>
  <c r="H52" i="25" s="1"/>
  <c r="S44" i="25" l="1"/>
  <c r="S39" i="25"/>
  <c r="S36" i="25"/>
  <c r="S43" i="25"/>
  <c r="S42" i="25"/>
  <c r="S37" i="25"/>
  <c r="S45" i="25"/>
  <c r="S38" i="25"/>
  <c r="S41" i="25"/>
  <c r="S46" i="25"/>
  <c r="T46" i="25"/>
  <c r="T37" i="25"/>
  <c r="T40" i="25"/>
  <c r="T41" i="25"/>
  <c r="T38" i="25"/>
  <c r="T36" i="25"/>
  <c r="T45" i="25"/>
  <c r="T39" i="25"/>
  <c r="T44" i="25"/>
  <c r="T42" i="25"/>
  <c r="T43"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<sst xmlns="http://schemas.openxmlformats.org/spreadsheetml/2006/main" count="908" uniqueCount="303">
  <si>
    <t>Market:</t>
  </si>
  <si>
    <t>Individual</t>
  </si>
  <si>
    <t>Small Group</t>
  </si>
  <si>
    <t>Metal Level</t>
  </si>
  <si>
    <t>Induced Demand Factor (IDF)</t>
  </si>
  <si>
    <t>Catastrophic</t>
  </si>
  <si>
    <t>Bronze</t>
  </si>
  <si>
    <t>Silver</t>
  </si>
  <si>
    <t>Gold</t>
  </si>
  <si>
    <t>Platinum</t>
  </si>
  <si>
    <t>Carrier Name:</t>
  </si>
  <si>
    <t>ABC Company</t>
  </si>
  <si>
    <t>Rate Filing Plan Year:</t>
  </si>
  <si>
    <t>Experience Period Year:</t>
  </si>
  <si>
    <t>Actual-to-Expected Experience</t>
  </si>
  <si>
    <t>Line Item</t>
  </si>
  <si>
    <t>Description</t>
  </si>
  <si>
    <t>ACTUAL EXPERIENCE
(A)</t>
  </si>
  <si>
    <t>PROJECTED
(i.e., Expected; E)</t>
  </si>
  <si>
    <t>A:E - 1</t>
  </si>
  <si>
    <t>A - E</t>
  </si>
  <si>
    <t>a</t>
  </si>
  <si>
    <t>Member Months (MM)</t>
  </si>
  <si>
    <t>b</t>
  </si>
  <si>
    <t>Premium</t>
  </si>
  <si>
    <t>c</t>
  </si>
  <si>
    <t>Allowed Claims</t>
  </si>
  <si>
    <t>d</t>
  </si>
  <si>
    <t>Incurred Claims</t>
  </si>
  <si>
    <t>e</t>
  </si>
  <si>
    <t>Cost Sharing Reduction (CSR) Amounts</t>
  </si>
  <si>
    <t>f</t>
  </si>
  <si>
    <t>Risk Adjustment Transfer Amounts</t>
  </si>
  <si>
    <t>g</t>
  </si>
  <si>
    <t>Administrative Expense</t>
  </si>
  <si>
    <t>h</t>
  </si>
  <si>
    <t>Taxes and Fees</t>
  </si>
  <si>
    <t>i</t>
  </si>
  <si>
    <t>Profit Margin (a.k.a. Profit &amp; Risk Load)</t>
  </si>
  <si>
    <t>j</t>
  </si>
  <si>
    <t>Paid-to-Allowed Ratios</t>
  </si>
  <si>
    <t>Profit Reconciliation</t>
  </si>
  <si>
    <t>Calculate profit using PMPMs from the table above</t>
  </si>
  <si>
    <t>Difference (should be close to $0)</t>
  </si>
  <si>
    <t>Loss Ratios</t>
  </si>
  <si>
    <t>Simple Loss Ratio (=Incurred Claims / Premium)</t>
  </si>
  <si>
    <t>Indicated Rate Change Required, if only based on A:E simple loss ratio</t>
  </si>
  <si>
    <t>Risk Adjusted Loss Ratio (=Incurred Claims / (Premium + Risk Adjustment Transfer))</t>
  </si>
  <si>
    <t>Indicated Rate Change Required, if only based on A:E risk adjusted loss ratio</t>
  </si>
  <si>
    <t>Comments</t>
  </si>
  <si>
    <t>DATA -- EHB Allowed Claims</t>
  </si>
  <si>
    <t>TRENDS -- EHB Allowed Claims</t>
  </si>
  <si>
    <t>URRT w1 Benefit Category</t>
  </si>
  <si>
    <t>Frequency Units</t>
  </si>
  <si>
    <t>Units per 1,000</t>
  </si>
  <si>
    <t>Unit Cost</t>
  </si>
  <si>
    <t>EHB Cost PMPM</t>
  </si>
  <si>
    <t>Inpatient Hospital</t>
  </si>
  <si>
    <t>Days</t>
  </si>
  <si>
    <t>Outpatient Hospital</t>
  </si>
  <si>
    <t>Services</t>
  </si>
  <si>
    <t>Professional</t>
  </si>
  <si>
    <t>Prescription Drug</t>
  </si>
  <si>
    <t>Days Filled</t>
  </si>
  <si>
    <t>Total</t>
  </si>
  <si>
    <t>Unit Cost Components</t>
  </si>
  <si>
    <t>Service</t>
  </si>
  <si>
    <t>Total EHB Cost</t>
  </si>
  <si>
    <t>Utilization</t>
  </si>
  <si>
    <t>Service Mix 
/ Intensity</t>
  </si>
  <si>
    <t>Reimbursement</t>
  </si>
  <si>
    <t>Check</t>
  </si>
  <si>
    <t>Service Mix / Intensity</t>
  </si>
  <si>
    <t>(ILLUSTRATIVE EXAMPLE)</t>
  </si>
  <si>
    <t>This exhibit should not be submitted to SERFF with the other rate filing exhibits.</t>
  </si>
  <si>
    <t>Purpose and background</t>
  </si>
  <si>
    <t>Demonstrate the concept of service mix / intensity within the professional benefit category.</t>
  </si>
  <si>
    <t>For demonstration purposes, suppose the professional benefit category only includes two services (as shown below).</t>
  </si>
  <si>
    <t>DATA -- Utilization, Unit Cost, Reimbursement, &amp; Total Cost</t>
  </si>
  <si>
    <t>TRENDS -- Calculations by benefit category</t>
  </si>
  <si>
    <t>EXPERIENCE -- PERIOD 1</t>
  </si>
  <si>
    <t>Professional Benefit Category</t>
  </si>
  <si>
    <t>Services in Category</t>
  </si>
  <si>
    <t>Number of Units</t>
  </si>
  <si>
    <t>Distribution of Units</t>
  </si>
  <si>
    <t>Reimbursement
per Unit</t>
  </si>
  <si>
    <t>Total Cost</t>
  </si>
  <si>
    <t>PCP Office Visit</t>
  </si>
  <si>
    <t>Specialist Office Visit</t>
  </si>
  <si>
    <t>^^ Per provider agreements</t>
  </si>
  <si>
    <t>EXPERIENCE -- PERIOD 2</t>
  </si>
  <si>
    <t>Total using current period's service distribution</t>
  </si>
  <si>
    <t>Total using prior period's service distribution</t>
  </si>
  <si>
    <t>^^ Total uses prior period's service distribution</t>
  </si>
  <si>
    <t>^^ Based on service mix / intensity and reimbursement</t>
  </si>
  <si>
    <t>EXPERIENCE -- PERIOD 3</t>
  </si>
  <si>
    <t>Utilization
Trend</t>
  </si>
  <si>
    <t>PROJECTED (i.e., EXPECTED) -- PLAN YEAR</t>
  </si>
  <si>
    <t>^^ Per projected provider agreements</t>
  </si>
  <si>
    <t>Individual Health Plan Market</t>
  </si>
  <si>
    <t>DEVELOPMENT TESTING RANGE -- DELETE RANGE IN FINAL Draft</t>
  </si>
  <si>
    <t>Trend Input</t>
  </si>
  <si>
    <t>Trend Randomness</t>
  </si>
  <si>
    <t>Table 3.1</t>
  </si>
  <si>
    <t>Allowable Rating Adjustments</t>
  </si>
  <si>
    <t>Incurred Date (YYYYMM)</t>
  </si>
  <si>
    <t>Member Months</t>
  </si>
  <si>
    <t>Allowed Claims 
(as of 3/31/2025)</t>
  </si>
  <si>
    <t>Allowed Claims Completion factor (based on IBNP estimates)</t>
  </si>
  <si>
    <t>Ultimate Allowed Claims</t>
  </si>
  <si>
    <t>One-Time Adjustment for High Claims (Non-Predictive Claims)</t>
  </si>
  <si>
    <t>One-Time Adjustment for HCRP Receipts</t>
  </si>
  <si>
    <t>Non-EHB Allowed Claims</t>
  </si>
  <si>
    <t>Predictive Ultimate Allowed EHB Claims</t>
  </si>
  <si>
    <t>Predictive Ultimate Allowed EHB Claims PMPM</t>
  </si>
  <si>
    <t>Morbidity Adjustment</t>
  </si>
  <si>
    <t>Demographic Shift</t>
  </si>
  <si>
    <t>Plan Design Changes</t>
  </si>
  <si>
    <t>Other Adjustments</t>
  </si>
  <si>
    <t>Combined Adjustment</t>
  </si>
  <si>
    <t>Accumulated Adjustments</t>
  </si>
  <si>
    <t>Allowable Rating Adjustment Normalization Factor</t>
  </si>
  <si>
    <t>Normalized Allowed Claims PMPM (to Experience Period)</t>
  </si>
  <si>
    <t>Unadjusted 12-Month Rolling Allowed Claims Trend</t>
  </si>
  <si>
    <t>Normalized 12-Month Rolling Allowed Claims Trend</t>
  </si>
  <si>
    <t>Base Trend Assumption</t>
  </si>
  <si>
    <t>Total Trend</t>
  </si>
  <si>
    <t>Table 3.2</t>
  </si>
  <si>
    <t>Plan Year</t>
  </si>
  <si>
    <t>Total Member Months</t>
  </si>
  <si>
    <t>Total Allowed Claims 
(as of 3/31/2025)</t>
  </si>
  <si>
    <t>Blank2</t>
  </si>
  <si>
    <t>Total Ultimate Allowed Claims</t>
  </si>
  <si>
    <t>Total One-Time Adjustment for High Claims (Non-Predictive Claims)</t>
  </si>
  <si>
    <t>Total One-Time Adjustment for HCRP Receipts</t>
  </si>
  <si>
    <t>Total Non-EHB Allowed Claims</t>
  </si>
  <si>
    <t>Incurred Month
yyyymm</t>
  </si>
  <si>
    <t>Incurred &amp; Paid Claims</t>
  </si>
  <si>
    <t>IBNP for Incurred Claims</t>
  </si>
  <si>
    <t>Ultimate Incurred Claims</t>
  </si>
  <si>
    <t>Allowed Claims (without IBNP)</t>
  </si>
  <si>
    <t>IBNP for Allowed Claims</t>
  </si>
  <si>
    <t>Other Medical</t>
  </si>
  <si>
    <t>Capitation</t>
  </si>
  <si>
    <t>Prescription Drug before Drug Rebates</t>
  </si>
  <si>
    <t>Prescription Drug Rebates
(Negative $)</t>
  </si>
  <si>
    <t>Non-EHBs</t>
  </si>
  <si>
    <t>Total EHB Allowed</t>
  </si>
  <si>
    <t>Total Allowed
(EHB + non-EHB)</t>
  </si>
  <si>
    <t>Check Total Allowed
(should be $0)</t>
  </si>
  <si>
    <t>WA Exhibit 5: URRT Worksheet 1 (w1) EHB Pool-Level Adjustment Factors</t>
  </si>
  <si>
    <t>Table 1</t>
  </si>
  <si>
    <t>ACTUAL EXPERIENCE (A)</t>
  </si>
  <si>
    <t>PROJECTED
(i.e., EXPECTED; E)</t>
  </si>
  <si>
    <t>A:E</t>
  </si>
  <si>
    <t>Component</t>
  </si>
  <si>
    <t>URRT Worksheet 1</t>
  </si>
  <si>
    <t>Other</t>
  </si>
  <si>
    <r>
      <rPr>
        <vertAlign val="superscript"/>
        <sz val="11"/>
        <color theme="1"/>
        <rFont val="Calibri"/>
        <family val="2"/>
        <scheme val="minor"/>
      </rPr>
      <t>1</t>
    </r>
    <r>
      <rPr>
        <sz val="11"/>
        <color theme="1"/>
        <rFont val="Calibri"/>
        <family val="2"/>
        <scheme val="minor"/>
      </rPr>
      <t xml:space="preserve"> Ratios for factors. Subtraction for percents.</t>
    </r>
  </si>
  <si>
    <t>YEAR-TO-YEAR SHIFTS
in PROJECTED AMOUNTS</t>
  </si>
  <si>
    <t>AV Pricing Value</t>
  </si>
  <si>
    <t>CSR Silver Load</t>
  </si>
  <si>
    <t>Factor for cost of abortion services for which public funding is prohibited</t>
  </si>
  <si>
    <t>AV and Cost Sharing Design of Plan</t>
  </si>
  <si>
    <t>Benefits in Addition to EHB</t>
  </si>
  <si>
    <t>Catastrophic Adjustment</t>
  </si>
  <si>
    <t>HIOS Plan ID</t>
  </si>
  <si>
    <t>AV Metal Value</t>
  </si>
  <si>
    <t>Paid Claims</t>
  </si>
  <si>
    <t>APTC Payments</t>
  </si>
  <si>
    <t>Net CSR Funds</t>
  </si>
  <si>
    <t>% of Premium</t>
  </si>
  <si>
    <t>PMPM</t>
  </si>
  <si>
    <t>Aggregate Projected Administrative Costs</t>
  </si>
  <si>
    <t>3.6 Administrative Expense</t>
  </si>
  <si>
    <t>3.7 Taxes and Fees</t>
  </si>
  <si>
    <t>3.8 Profit &amp; Risk Load</t>
  </si>
  <si>
    <t>Total Retention (excluding Exchange Fee)</t>
  </si>
  <si>
    <t>Aggregate Projected Amounts PMPM</t>
  </si>
  <si>
    <t>Exchange user fee</t>
  </si>
  <si>
    <t>4.15 Incurred Claims</t>
  </si>
  <si>
    <t>4.16 Risk Adjustment Transfer Amount</t>
  </si>
  <si>
    <t>4.17 Premium</t>
  </si>
  <si>
    <t>A. (Premium) + (Risk Adjustment Transfer Amount)</t>
  </si>
  <si>
    <t>B. (Incurred Claims) + (Admin, Taxes &amp; Fees) + (Profit &amp; Risk Load) + (Exchange User Fee)</t>
  </si>
  <si>
    <t>C. Difference = A - B (should be $0)</t>
  </si>
  <si>
    <t>Administrative Expenses</t>
  </si>
  <si>
    <t>Commissions</t>
  </si>
  <si>
    <t>Quality improvement</t>
  </si>
  <si>
    <t>Investment income credit (enter as a negative number)</t>
  </si>
  <si>
    <t>Commercial reinsurance premium</t>
  </si>
  <si>
    <t>Other administrative expenses</t>
  </si>
  <si>
    <t>Total administrative expenses</t>
  </si>
  <si>
    <t>Premium tax</t>
  </si>
  <si>
    <t>Federal income tax</t>
  </si>
  <si>
    <t>WA OIC regulatory surcharge</t>
  </si>
  <si>
    <t>WA OIC fraud surcharge</t>
  </si>
  <si>
    <t>Risk adjustment user fee</t>
  </si>
  <si>
    <t>PCORI fee</t>
  </si>
  <si>
    <t>Mitigating inequity fee</t>
  </si>
  <si>
    <t>WSHIP assessment</t>
  </si>
  <si>
    <t>WAPAL assessment</t>
  </si>
  <si>
    <t>Profit &amp; Risk Load</t>
  </si>
  <si>
    <r>
      <rPr>
        <b/>
        <sz val="11"/>
        <color rgb="FF000000"/>
        <rFont val="Calibri"/>
        <family val="2"/>
        <scheme val="minor"/>
      </rPr>
      <t xml:space="preserve">Total Retention </t>
    </r>
    <r>
      <rPr>
        <b/>
        <sz val="9"/>
        <color rgb="FF000000"/>
        <rFont val="Calibri"/>
        <family val="2"/>
        <scheme val="minor"/>
      </rPr>
      <t>(excluding Exchange Fee)</t>
    </r>
  </si>
  <si>
    <t>Exchange User Fee *</t>
  </si>
  <si>
    <r>
      <rPr>
        <b/>
        <sz val="11"/>
        <color rgb="FF000000"/>
        <rFont val="Calibri"/>
        <family val="2"/>
      </rPr>
      <t xml:space="preserve">Total Retention </t>
    </r>
    <r>
      <rPr>
        <b/>
        <sz val="9"/>
        <color rgb="FF000000"/>
        <rFont val="Calibri"/>
        <family val="2"/>
      </rPr>
      <t>(including Exchange Fee)</t>
    </r>
  </si>
  <si>
    <t>Projected Required Premium PMPM</t>
  </si>
  <si>
    <t>* Exchange User Fee on incurred claim basis (not on allowed claim basis like what is on URRT worksheet 1)</t>
  </si>
  <si>
    <t>Statewide Metal Plans</t>
  </si>
  <si>
    <t>Carrier</t>
  </si>
  <si>
    <t>Statewide Catastrophic Plans</t>
  </si>
  <si>
    <t>Total for Metal + Catastrophic</t>
  </si>
  <si>
    <t>Total for Metal Plans</t>
  </si>
  <si>
    <t>Cata-
strophic</t>
  </si>
  <si>
    <t>Total for Metal + catastrophic.</t>
  </si>
  <si>
    <t>Billable Member Months (MM)</t>
  </si>
  <si>
    <t>Actuarial Value (AV)</t>
  </si>
  <si>
    <t>Plan Liability Risk Score (PLRS)</t>
  </si>
  <si>
    <t>Allowable Rating Factor (ARF)</t>
  </si>
  <si>
    <t>Geographic Cost Factor (GCF)</t>
  </si>
  <si>
    <t>Statewide Average Premium (SWAP) PMPM</t>
  </si>
  <si>
    <t>Starting SWAP PMPM</t>
  </si>
  <si>
    <r>
      <t xml:space="preserve">Final SWAP PMPM </t>
    </r>
    <r>
      <rPr>
        <sz val="11"/>
        <color theme="0" tint="-0.499984740745262"/>
        <rFont val="Calibri"/>
        <family val="2"/>
        <scheme val="minor"/>
      </rPr>
      <t>(before 86% adjustment is applied)</t>
    </r>
  </si>
  <si>
    <t>Plan Liability Component approximation = PLRS * IDF * GCF</t>
  </si>
  <si>
    <t>Normalized PLRS * IDF * GCF (N1)</t>
  </si>
  <si>
    <t>Allowable Rating Component approximation = AV * ARF * IDF * GCF</t>
  </si>
  <si>
    <t>Normalized AV * PLRS * IDF * GCF (N2)</t>
  </si>
  <si>
    <t>Approximate Transfer PMPM (P * [N1 - N2] * 0.86)</t>
  </si>
  <si>
    <t>Approximate Aggregate Transfer (Transfer PMPM * MM)</t>
  </si>
  <si>
    <t>Aggregate Experience RA Transfer PMPM</t>
  </si>
  <si>
    <t>Aggregate Projected (Rate Development) RA Transfer PMPM</t>
  </si>
  <si>
    <t>Transfer PMPM Difference</t>
  </si>
  <si>
    <t>HCRP assessment PMPM</t>
  </si>
  <si>
    <t>HCRP receipts PMPM</t>
  </si>
  <si>
    <t>RADV adjustment PMPM, if applicable</t>
  </si>
  <si>
    <t>Final Risk Adjustment PMPM</t>
  </si>
  <si>
    <t>Paid-to-Allowed Ratio (All, Unadjusted)</t>
  </si>
  <si>
    <t>Plan Category</t>
  </si>
  <si>
    <t>Terminated</t>
  </si>
  <si>
    <t>New</t>
  </si>
  <si>
    <t>Renewing</t>
  </si>
  <si>
    <t>&lt;&lt;Label and options are taken from URR Instructions</t>
  </si>
  <si>
    <t>Paid-to-Allowed Ratio</t>
  </si>
  <si>
    <t>AV Metal Value
2024</t>
  </si>
  <si>
    <t>AV Metal Value
2025</t>
  </si>
  <si>
    <t>AV Metal Value
2026</t>
  </si>
  <si>
    <t>AV Pricing Value
2024</t>
  </si>
  <si>
    <t>AV Pricing Value
2025</t>
  </si>
  <si>
    <t>AV Pricing Value
2026</t>
  </si>
  <si>
    <t>CSR-Adjusted
Paid-to-Allowed
Ratio</t>
  </si>
  <si>
    <t>PROJECTED (i.e., EXPECTED; E)</t>
  </si>
  <si>
    <t>Total Predictive Ultimate Allowed EHB Claims</t>
  </si>
  <si>
    <t>Total Predictive Ultimate Allowed EHB Claims PMPM</t>
  </si>
  <si>
    <t>YEAR-TO-YEAR CHANGE
in PROJECTED AMOUNTS</t>
  </si>
  <si>
    <t>Table</t>
  </si>
  <si>
    <t>AV and Cost Sharing Design of Plan Development Components</t>
  </si>
  <si>
    <t>CSR Paid Claims</t>
  </si>
  <si>
    <t>CSR Plan Variant</t>
  </si>
  <si>
    <t>2026 Plan Category
(New, Renewing, Terminated)</t>
  </si>
  <si>
    <t>CSR Variant Types</t>
  </si>
  <si>
    <t>CSR 73%</t>
  </si>
  <si>
    <t>CSR 87%</t>
  </si>
  <si>
    <t>CSR 94%</t>
  </si>
  <si>
    <t>Limited Cost-Share</t>
  </si>
  <si>
    <t>Zero Cost-Share</t>
  </si>
  <si>
    <t>NA</t>
  </si>
  <si>
    <t>CSR Silver Load (Projected)</t>
  </si>
  <si>
    <t>12345WA123456</t>
  </si>
  <si>
    <t>-</t>
  </si>
  <si>
    <t>Check 
Expected Risk Adjustment IDF</t>
  </si>
  <si>
    <t>Check
CSR Silver Load</t>
  </si>
  <si>
    <t>Exchange Plan?</t>
  </si>
  <si>
    <t>Yes</t>
  </si>
  <si>
    <t>Table 8.1</t>
  </si>
  <si>
    <t>Projections</t>
  </si>
  <si>
    <t>Difference of Pricing Value and Metal Value</t>
  </si>
  <si>
    <t>2024</t>
  </si>
  <si>
    <t>2025</t>
  </si>
  <si>
    <t>2026</t>
  </si>
  <si>
    <t>Overall AV Metal Value</t>
  </si>
  <si>
    <t>Overall AV Pricing Value</t>
  </si>
  <si>
    <t>WA Exhibit 12: URRT Worksheet 2 (w2) Projections, Reconciliation</t>
  </si>
  <si>
    <t>WA Exhibit 9: URRT Worksheet 2 (w2) AV and Cost Sharing Design Factors</t>
  </si>
  <si>
    <t>Induced Demand Factor
(IDF)</t>
  </si>
  <si>
    <t>Paid-to-Allowed Ratio (Catastrophic, Unadjusted)</t>
  </si>
  <si>
    <t>Paid-to-Allowed Ratio (Bronze, Unadjusted)</t>
  </si>
  <si>
    <t>Paid-to-Allowed Ratio (Silver, Unadjusted)</t>
  </si>
  <si>
    <t>Paid-to-Allowed Ratio (Gold, Unadjusted)</t>
  </si>
  <si>
    <t>Paid-to-Allowed Ratio (Platinum, Unadjusted)</t>
  </si>
  <si>
    <t>Annualized Cost Trend Factor</t>
  </si>
  <si>
    <t>Annualized Utilization Trend Factor</t>
  </si>
  <si>
    <t>Plan Year 2024 Actual Experience</t>
  </si>
  <si>
    <t>WA Exhibit 1: Experience Data</t>
  </si>
  <si>
    <t>WA Exhibit 2: Overall Actual to Expected Experience Reporting and Analysis</t>
  </si>
  <si>
    <t>WA Exhibit 3: Essential Health Benefit (EHB) Trend Reporting and Analysis by Benefit Category, Frequency and Unit Cost</t>
  </si>
  <si>
    <t>WA Exhibit 4: Normalized Allowed Claims Analysis</t>
  </si>
  <si>
    <t>WA Exhibit 6: URRT Worksheet 2 (w2) Actuarial Values by Plan</t>
  </si>
  <si>
    <t>WA Exhibit 7: URRT Worksheet 2 (w2) Plan Adjustment Factors, in Aggregate</t>
  </si>
  <si>
    <t>WA Exhibit 8: CSR Related Experience</t>
  </si>
  <si>
    <t>WA Exhibit 10: Summarized Risk Adjustment (RA)</t>
  </si>
  <si>
    <t>WA Exhibit 11: Retention / Administrative Costs</t>
  </si>
  <si>
    <t>Requesting Expanded AV Pricing Value Range</t>
  </si>
  <si>
    <t>Check
AV Pricing Value within 2% (or 3%)
of AV Metal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</si>
</sst>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1" formatCode="_(* #,##0_);_(* \(#,##0\);_(* &quot;-&quot;_);_(@_)"/>
    <numFmt numFmtId="43" formatCode="_(* #,##0.00_);_(* \(#,##0.00\);_(* &quot;-&quot;??_);_(@_)"/>
    <numFmt numFmtId="164" formatCode="0.0%"/>
    <numFmt numFmtId="165" formatCode="_(* #,##0_);_(* \(#,##0\);_(* &quot;-&quot;??_);_(@_)"/>
    <numFmt numFmtId="166" formatCode="&quot;$&quot;#,##0.00"/>
    <numFmt numFmtId="167" formatCode="0.000"/>
    <numFmt numFmtId="168" formatCode="0.000%"/>
    <numFmt numFmtId="169" formatCode="0.0000%"/>
    <numFmt numFmtId="170" formatCode="#,##0.000"/>
    <numFmt numFmtId="171" formatCode="_(* #,##0.000_);_(* \(#,##0.000\);_(* &quot;-&quot;??_);_(@_)"/>
    <numFmt numFmtId="172" formatCode="_(* #,##0.0000_);_(* \(#,##0.0000\);_(* &quot;-&quot;??_);_(@_)"/>
    <numFmt numFmtId="173" formatCode="0.000000000000000%"/>
    <numFmt numFmtId="174" formatCode="&quot;$&quot;#,##0"/>
    <numFmt numFmtId="175" formatCode="0.0000"/>
    <numFmt numFmtId="176" formatCode="&quot;$&quot;#,##0_);[Red]\(&quot;$&quot;#,##0\);\-"/>
    <numFmt numFmtId="177" formatCode="&quot;$&quot;#,##0.00_);[Red]\(&quot;$&quot;#,##0.00\);\-"/>
    <numFmt numFmtId="178" formatCode="#,##0.0000"/>
    <numFmt numFmtId="179" formatCode="_(* #,##0.0000_);_(* \(#,##0.0000\);_(* &quot;-&quot;????_);_(@_)"/>
  </numFmts>
  <fonts count="4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theme="1"/>
      <name val="Calibri"/>
      <family val="2"/>
      <scheme val="minor"/>
    </font>
    <font>
      <sz val="11"/>
      <name val="Calibri"/>
      <family val="2"/>
      <scheme val="minor"/>
    </font>
    <font>
      <b/>
      <sz val="11"/>
      <name val="Calibri"/>
      <family val="2"/>
      <scheme val="minor"/>
    </font>
    <font>
      <b/>
      <sz val="13"/>
      <color theme="3"/>
      <name val="Calibri"/>
      <family val="2"/>
      <scheme val="minor"/>
    </font>
    <font>
      <b/>
      <sz val="11"/>
      <color rgb="FF000000"/>
      <name val="Calibri"/>
      <family val="2"/>
      <scheme val="minor"/>
    </font>
    <font>
      <b/>
      <sz val="9"/>
      <color rgb="FF000000"/>
      <name val="Calibri"/>
      <family val="2"/>
      <scheme val="minor"/>
    </font>
    <font>
      <b/>
      <sz val="11"/>
      <color rgb="FF000000"/>
      <name val="Calibri"/>
      <family val="2"/>
    </font>
    <font>
      <b/>
      <sz val="9"/>
      <color rgb="FF000000"/>
      <name val="Calibri"/>
      <family val="2"/>
    </font>
    <font>
      <b/>
      <u/>
      <sz val="14"/>
      <color theme="1"/>
      <name val="Calibri"/>
      <family val="2"/>
      <scheme val="minor"/>
    </font>
    <font>
      <vertAlign val="superscript"/>
      <sz val="11"/>
      <color theme="1"/>
      <name val="Calibri"/>
      <family val="2"/>
      <scheme val="minor"/>
    </font>
    <font>
      <b/>
      <sz val="11"/>
      <color rgb="FF3F3F3F"/>
      <name val="Calibri"/>
      <family val="2"/>
      <scheme val="minor"/>
    </font>
    <font>
      <b/>
      <sz val="12"/>
      <name val="Calibri"/>
      <family val="2"/>
      <scheme val="minor"/>
    </font>
    <font>
      <sz val="20"/>
      <color theme="3"/>
      <name val="Calibri Light"/>
      <family val="2"/>
      <scheme val="major"/>
    </font>
    <font>
      <b/>
      <sz val="12"/>
      <color theme="1"/>
      <name val="Calibri"/>
      <family val="2"/>
      <scheme val="minor"/>
    </font>
    <font>
      <b/>
      <sz val="16"/>
      <color theme="1"/>
      <name val="Calibri"/>
      <family val="2"/>
      <scheme val="minor"/>
    </font>
    <font>
      <sz val="12"/>
      <name val="Calibri"/>
      <family val="2"/>
      <scheme val="minor"/>
    </font>
    <font>
      <sz val="12"/>
      <color theme="1"/>
      <name val="Calibri"/>
      <family val="2"/>
      <scheme val="minor"/>
    </font>
    <font>
      <b/>
      <i/>
      <sz val="12"/>
      <color theme="1"/>
      <name val="Calibri"/>
      <family val="2"/>
      <scheme val="minor"/>
    </font>
    <font>
      <b/>
      <sz val="14"/>
      <color theme="3"/>
      <name val="Calibri Light"/>
      <family val="2"/>
      <scheme val="major"/>
    </font>
    <font>
      <sz val="12"/>
      <color rgb="FF3F3F76"/>
      <name val="Calibri"/>
      <family val="2"/>
      <scheme val="minor"/>
    </font>
    <font>
      <b/>
      <sz val="16"/>
      <color theme="3"/>
      <name val="Calibri"/>
      <family val="2"/>
      <scheme val="minor"/>
    </font>
    <font>
      <sz val="16"/>
      <color theme="1"/>
      <name val="Calibri"/>
      <family val="2"/>
      <scheme val="minor"/>
    </font>
    <font>
      <sz val="11"/>
      <color theme="0" tint="-0.499984740745262"/>
      <name val="Calibri"/>
      <family val="2"/>
      <scheme val="minor"/>
    </font>
    <font>
      <sz val="11"/>
      <color theme="3"/>
      <name val="Calibri Light"/>
      <family val="2"/>
      <scheme val="major"/>
    </font>
    <font>
      <b/>
      <sz val="11"/>
      <color theme="3"/>
      <name val="Calibri Light"/>
      <family val="2"/>
      <scheme val="major"/>
    </font>
    <font>
      <b/>
      <sz val="12"/>
      <color theme="0"/>
      <name val="Calibri"/>
      <family val="2"/>
      <scheme val="minor"/>
    </font>
    <font>
      <b/>
      <sz val="16"/>
      <color theme="3"/>
      <name val="Calibri Light"/>
      <family val="2"/>
      <scheme val="major"/>
    </font>
    <font>
      <sz val="16"/>
      <color rgb="FF3F3F76"/>
      <name val="Calibri"/>
      <family val="2"/>
      <scheme val="minor"/>
    </font>
    <font>
      <b/>
      <sz val="16"/>
      <color rgb="FF3F3F3F"/>
      <name val="Calibri"/>
      <family val="2"/>
      <scheme val="minor"/>
    </font>
    <font>
      <sz val="16"/>
      <color rgb="FF3F3F3F"/>
      <name val="Calibri"/>
      <family val="2"/>
      <scheme val="minor"/>
    </font>
    <font>
      <sz val="9"/>
      <color theme="0" tint="-0.34998626667073579"/>
      <name val="Calibri"/>
      <family val="2"/>
      <scheme val="minor"/>
    </font>
    <font>
      <sz val="8"/>
      <name val="Calibri"/>
      <family val="2"/>
      <scheme val="minor"/>
    </font>
    <font>
      <sz val="9"/>
      <color theme="1"/>
      <name val="Calibri"/>
      <family val="2"/>
      <scheme val="minor"/>
    </font>
    <font>
      <b/>
      <sz val="16"/>
      <color rgb="FFFF0000"/>
      <name val="Calibri Light"/>
      <family val="2"/>
      <scheme val="major"/>
    </font>
    <font>
      <sz val="11"/>
      <color theme="1"/>
      <name val="Aptos"/>
      <family val="2"/>
    </font>
    <font>
      <b/>
      <sz val="11"/>
      <color theme="0"/>
      <name val="Calibri"/>
      <family val="2"/>
      <scheme val="minor"/>
    </font>
    <font>
      <b/>
      <sz val="9"/>
      <color rgb="FFC00000"/>
      <name val="Calibri"/>
      <family val="2"/>
      <scheme val="minor"/>
    </font>
    <font>
      <sz val="12"/>
      <color theme="0" tint="-0.34998626667073579"/>
      <name val="Calibri"/>
      <family val="2"/>
      <scheme val="minor"/>
    </font>
    <font>
      <sz val="12"/>
      <color indexed="8"/>
      <name val="Calibri"/>
      <family val="2"/>
    </font>
    <font>
      <b/>
      <sz val="12"/>
      <color theme="3"/>
      <name val="Calibri Light"/>
      <family val="2"/>
      <scheme val="major"/>
    </font>
  </fonts>
  <fills count="24">
    <fill>
      <patternFill patternType="none"/>
    </fill>
    <fill>
      <patternFill patternType="gray125"/>
    </fill>
    <fill>
      <patternFill patternType="solid">
        <fgColor rgb="FFFFCC99"/>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B7DCFA"/>
        <bgColor indexed="64"/>
      </patternFill>
    </fill>
    <fill>
      <patternFill patternType="solid">
        <fgColor theme="7" tint="0.79998168889431442"/>
        <bgColor indexed="64"/>
      </patternFill>
    </fill>
    <fill>
      <patternFill patternType="solid">
        <fgColor rgb="FFF2F2F2"/>
      </patternFill>
    </fill>
    <fill>
      <patternFill patternType="solid">
        <fgColor theme="4" tint="0.59999389629810485"/>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tint="-4.9989318521683403E-2"/>
        <bgColor theme="4"/>
      </patternFill>
    </fill>
    <fill>
      <patternFill patternType="solid">
        <fgColor theme="7" tint="0.59999389629810485"/>
        <bgColor indexed="64"/>
      </patternFill>
    </fill>
    <fill>
      <patternFill patternType="solid">
        <fgColor theme="4"/>
        <bgColor theme="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0" tint="-0.499984740745262"/>
        <bgColor theme="4"/>
      </patternFill>
    </fill>
    <fill>
      <patternFill patternType="solid">
        <fgColor theme="7" tint="0.79998168889431442"/>
        <bgColor theme="4" tint="0.79998168889431442"/>
      </patternFill>
    </fill>
    <fill>
      <patternFill patternType="solid">
        <fgColor theme="4" tint="0.39997558519241921"/>
        <bgColor indexed="64"/>
      </patternFill>
    </fill>
  </fills>
  <borders count="89">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auto="1"/>
      </bottom>
      <diagonal/>
    </border>
    <border>
      <left/>
      <right style="hair">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style="thin">
        <color indexed="64"/>
      </right>
      <top/>
      <bottom/>
      <diagonal/>
    </border>
    <border>
      <left/>
      <right/>
      <top/>
      <bottom style="thin">
        <color rgb="FF000000"/>
      </bottom>
      <diagonal/>
    </border>
    <border>
      <left style="thin">
        <color indexed="64"/>
      </left>
      <right/>
      <top/>
      <bottom style="thin">
        <color rgb="FF000000"/>
      </bottom>
      <diagonal/>
    </border>
    <border>
      <left style="hair">
        <color indexed="64"/>
      </left>
      <right/>
      <top/>
      <bottom style="thin">
        <color rgb="FF000000"/>
      </bottom>
      <diagonal/>
    </border>
    <border>
      <left/>
      <right style="hair">
        <color indexed="64"/>
      </right>
      <top/>
      <bottom style="thin">
        <color rgb="FF000000"/>
      </bottom>
      <diagonal/>
    </border>
    <border>
      <left/>
      <right style="thin">
        <color indexed="64"/>
      </right>
      <top/>
      <bottom style="thin">
        <color rgb="FF000000"/>
      </bottom>
      <diagonal/>
    </border>
    <border>
      <left/>
      <right/>
      <top/>
      <bottom style="thin">
        <color theme="0" tint="-0.2499465926084170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hair">
        <color auto="1"/>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hair">
        <color indexed="64"/>
      </left>
      <right/>
      <top/>
      <bottom style="thin">
        <color theme="0" tint="-0.24994659260841701"/>
      </bottom>
      <diagonal/>
    </border>
    <border>
      <left/>
      <right style="hair">
        <color indexed="64"/>
      </right>
      <top/>
      <bottom style="thin">
        <color theme="0" tint="-0.24994659260841701"/>
      </bottom>
      <diagonal/>
    </border>
    <border>
      <left style="hair">
        <color indexed="64"/>
      </left>
      <right style="hair">
        <color indexed="64"/>
      </right>
      <top/>
      <bottom style="thin">
        <color theme="0" tint="-0.24994659260841701"/>
      </bottom>
      <diagonal/>
    </border>
    <border>
      <left style="hair">
        <color indexed="64"/>
      </left>
      <right style="hair">
        <color indexed="64"/>
      </right>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auto="1"/>
      </top>
      <bottom style="hair">
        <color indexed="64"/>
      </bottom>
      <diagonal/>
    </border>
    <border>
      <left style="hair">
        <color indexed="64"/>
      </left>
      <right/>
      <top style="hair">
        <color auto="1"/>
      </top>
      <bottom style="hair">
        <color indexed="64"/>
      </bottom>
      <diagonal/>
    </border>
    <border>
      <left/>
      <right/>
      <top style="hair">
        <color auto="1"/>
      </top>
      <bottom style="hair">
        <color indexed="64"/>
      </bottom>
      <diagonal/>
    </border>
    <border>
      <left/>
      <right style="hair">
        <color indexed="64"/>
      </right>
      <top style="hair">
        <color auto="1"/>
      </top>
      <bottom style="hair">
        <color indexed="64"/>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theme="7" tint="0.39997558519241921"/>
      </right>
      <top style="thin">
        <color theme="7" tint="0.39997558519241921"/>
      </top>
      <bottom/>
      <diagonal/>
    </border>
    <border>
      <left style="thin">
        <color theme="7" tint="0.39997558519241921"/>
      </left>
      <right/>
      <top/>
      <bottom/>
      <diagonal/>
    </border>
    <border>
      <left/>
      <right style="thin">
        <color theme="7" tint="0.39997558519241921"/>
      </right>
      <top/>
      <bottom/>
      <diagonal/>
    </border>
    <border>
      <left style="hair">
        <color indexed="64"/>
      </left>
      <right style="hair">
        <color indexed="64"/>
      </right>
      <top style="hair">
        <color auto="1"/>
      </top>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0" fontId="8" fillId="0" borderId="7" applyNumberFormat="0" applyFill="0" applyAlignment="0" applyProtection="0"/>
    <xf numFmtId="0" fontId="15" fillId="10" borderId="53" applyNumberFormat="0" applyAlignment="0" applyProtection="0"/>
  </cellStyleXfs>
  <cellXfs count="628">
    <xf numFmtId="0" fontId="0" fillId="0" borderId="0" xfId="0"/>
    <xf numFmtId="0" fontId="0" fillId="0" borderId="0" xfId="0" applyAlignment="1">
      <alignment horizontal="right"/>
    </xf>
    <xf numFmtId="9" fontId="0" fillId="0" borderId="3" xfId="2" applyFont="1" applyBorder="1"/>
    <xf numFmtId="10" fontId="0" fillId="0" borderId="3" xfId="2" applyNumberFormat="1" applyFont="1" applyBorder="1"/>
    <xf numFmtId="0" fontId="3" fillId="0" borderId="1" xfId="4"/>
    <xf numFmtId="0" fontId="8" fillId="0" borderId="7" xfId="6"/>
    <xf numFmtId="2"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11" xfId="0" applyBorder="1" applyAlignment="1">
      <alignment horizontal="left" indent="2"/>
    </xf>
    <xf numFmtId="10" fontId="0" fillId="0" borderId="12" xfId="2" applyNumberFormat="1" applyFont="1" applyBorder="1"/>
    <xf numFmtId="8" fontId="0" fillId="0" borderId="13" xfId="0" applyNumberFormat="1" applyBorder="1"/>
    <xf numFmtId="10" fontId="0" fillId="0" borderId="13" xfId="2" applyNumberFormat="1" applyFont="1" applyBorder="1"/>
    <xf numFmtId="8" fontId="0" fillId="0" borderId="14" xfId="0" applyNumberFormat="1" applyBorder="1"/>
    <xf numFmtId="10" fontId="0" fillId="0" borderId="0" xfId="2" applyNumberFormat="1" applyFont="1" applyBorder="1"/>
    <xf numFmtId="8" fontId="0" fillId="0" borderId="0" xfId="0" applyNumberFormat="1"/>
    <xf numFmtId="10" fontId="0" fillId="0" borderId="19" xfId="2" applyNumberFormat="1" applyFont="1" applyBorder="1"/>
    <xf numFmtId="8" fontId="0" fillId="0" borderId="20" xfId="0" applyNumberFormat="1" applyBorder="1"/>
    <xf numFmtId="8" fontId="0" fillId="0" borderId="21" xfId="0" applyNumberFormat="1" applyBorder="1"/>
    <xf numFmtId="0" fontId="6" fillId="8" borderId="3" xfId="0" applyFont="1" applyFill="1" applyBorder="1" applyAlignment="1">
      <alignment horizontal="centerContinuous" wrapText="1"/>
    </xf>
    <xf numFmtId="0" fontId="6" fillId="8" borderId="3" xfId="0" applyFont="1" applyFill="1" applyBorder="1"/>
    <xf numFmtId="0" fontId="6" fillId="8" borderId="3" xfId="0" applyFont="1" applyFill="1" applyBorder="1" applyAlignment="1">
      <alignment horizontal="center" wrapText="1"/>
    </xf>
    <xf numFmtId="164" fontId="0" fillId="6" borderId="3" xfId="2" applyNumberFormat="1" applyFont="1" applyFill="1" applyBorder="1" applyAlignment="1" applyProtection="1">
      <alignment horizontal="center"/>
    </xf>
    <xf numFmtId="41" fontId="0" fillId="0" borderId="3" xfId="1" applyNumberFormat="1" applyFont="1" applyFill="1" applyBorder="1" applyAlignment="1" applyProtection="1">
      <alignment horizontal="center"/>
    </xf>
    <xf numFmtId="170" fontId="0" fillId="0" borderId="10" xfId="2" applyNumberFormat="1" applyFont="1" applyFill="1" applyBorder="1" applyAlignment="1" applyProtection="1">
      <alignment horizontal="center"/>
      <protection locked="0"/>
    </xf>
    <xf numFmtId="170" fontId="0" fillId="0" borderId="24" xfId="2" applyNumberFormat="1" applyFont="1" applyFill="1" applyBorder="1" applyAlignment="1" applyProtection="1">
      <alignment horizontal="center"/>
      <protection locked="0"/>
    </xf>
    <xf numFmtId="170" fontId="0" fillId="0" borderId="5" xfId="2" applyNumberFormat="1" applyFont="1" applyFill="1" applyBorder="1" applyAlignment="1" applyProtection="1">
      <alignment horizontal="center"/>
      <protection locked="0"/>
    </xf>
    <xf numFmtId="167" fontId="0" fillId="6" borderId="5" xfId="2" applyNumberFormat="1" applyFont="1" applyFill="1" applyBorder="1" applyAlignment="1" applyProtection="1">
      <alignment horizontal="center"/>
    </xf>
    <xf numFmtId="167" fontId="0" fillId="0" borderId="10" xfId="2" applyNumberFormat="1" applyFont="1" applyFill="1" applyBorder="1" applyAlignment="1" applyProtection="1">
      <alignment horizontal="center"/>
    </xf>
    <xf numFmtId="167" fontId="0" fillId="0" borderId="5" xfId="2" applyNumberFormat="1" applyFont="1" applyFill="1" applyBorder="1" applyAlignment="1" applyProtection="1">
      <alignment horizontal="center"/>
    </xf>
    <xf numFmtId="164" fontId="0" fillId="6" borderId="10" xfId="2" applyNumberFormat="1" applyFont="1" applyFill="1" applyBorder="1" applyAlignment="1" applyProtection="1">
      <alignment horizontal="center"/>
    </xf>
    <xf numFmtId="164" fontId="1" fillId="6" borderId="5" xfId="2" applyNumberFormat="1" applyFont="1" applyFill="1" applyBorder="1" applyAlignment="1" applyProtection="1">
      <alignment horizontal="center"/>
    </xf>
    <xf numFmtId="166" fontId="0" fillId="0" borderId="5" xfId="2" applyNumberFormat="1" applyFont="1" applyFill="1" applyBorder="1" applyAlignment="1" applyProtection="1">
      <alignment horizontal="center"/>
    </xf>
    <xf numFmtId="164" fontId="0" fillId="6" borderId="5" xfId="2" applyNumberFormat="1" applyFont="1" applyFill="1" applyBorder="1" applyAlignment="1" applyProtection="1">
      <alignment horizontal="center"/>
    </xf>
    <xf numFmtId="167" fontId="0" fillId="0" borderId="0" xfId="0" applyNumberFormat="1"/>
    <xf numFmtId="8" fontId="0" fillId="0" borderId="10" xfId="2" applyNumberFormat="1" applyFont="1" applyFill="1" applyBorder="1" applyAlignment="1" applyProtection="1">
      <alignment horizontal="center"/>
    </xf>
    <xf numFmtId="6" fontId="1" fillId="0" borderId="5" xfId="2" applyNumberFormat="1" applyFont="1" applyFill="1" applyBorder="1" applyAlignment="1" applyProtection="1">
      <alignment horizontal="center"/>
    </xf>
    <xf numFmtId="8" fontId="5" fillId="0" borderId="10" xfId="2" applyNumberFormat="1" applyFont="1" applyFill="1" applyBorder="1" applyAlignment="1" applyProtection="1">
      <alignment horizontal="center"/>
    </xf>
    <xf numFmtId="6" fontId="5" fillId="0" borderId="5" xfId="2" applyNumberFormat="1" applyFont="1" applyFill="1" applyBorder="1" applyAlignment="1" applyProtection="1">
      <alignment horizontal="center"/>
    </xf>
    <xf numFmtId="0" fontId="5" fillId="0" borderId="0" xfId="0" applyFont="1" applyAlignment="1">
      <alignment horizontal="left" indent="2"/>
    </xf>
    <xf numFmtId="0" fontId="9" fillId="0" borderId="0" xfId="0" applyFont="1"/>
    <xf numFmtId="0" fontId="11" fillId="0" borderId="0" xfId="0" applyFont="1"/>
    <xf numFmtId="0" fontId="0" fillId="0" borderId="25" xfId="0" applyBorder="1"/>
    <xf numFmtId="0" fontId="7" fillId="8" borderId="3" xfId="0" applyFont="1" applyFill="1" applyBorder="1" applyAlignment="1">
      <alignment horizontal="centerContinuous"/>
    </xf>
    <xf numFmtId="10" fontId="0" fillId="0" borderId="0" xfId="2" applyNumberFormat="1" applyFont="1" applyFill="1" applyBorder="1"/>
    <xf numFmtId="8" fontId="0" fillId="0" borderId="11" xfId="0" applyNumberFormat="1" applyBorder="1"/>
    <xf numFmtId="0" fontId="0" fillId="0" borderId="11" xfId="0" applyBorder="1"/>
    <xf numFmtId="166" fontId="0" fillId="0" borderId="10" xfId="2" applyNumberFormat="1" applyFont="1" applyFill="1" applyBorder="1" applyAlignment="1" applyProtection="1">
      <alignment horizontal="center"/>
    </xf>
    <xf numFmtId="166" fontId="0" fillId="0" borderId="3" xfId="2" applyNumberFormat="1" applyFont="1" applyFill="1" applyBorder="1" applyAlignment="1" applyProtection="1">
      <alignment horizontal="center"/>
    </xf>
    <xf numFmtId="170" fontId="0" fillId="6" borderId="24" xfId="2" applyNumberFormat="1" applyFont="1" applyFill="1" applyBorder="1" applyAlignment="1" applyProtection="1">
      <alignment horizontal="center"/>
      <protection locked="0"/>
    </xf>
    <xf numFmtId="0" fontId="13" fillId="0" borderId="0" xfId="0" applyFont="1"/>
    <xf numFmtId="0" fontId="6" fillId="8" borderId="3" xfId="0" applyFont="1" applyFill="1" applyBorder="1" applyAlignment="1">
      <alignment horizontal="left" wrapText="1"/>
    </xf>
    <xf numFmtId="0" fontId="6" fillId="8" borderId="10" xfId="0" applyFont="1" applyFill="1" applyBorder="1" applyAlignment="1">
      <alignment horizontal="left" wrapText="1"/>
    </xf>
    <xf numFmtId="0" fontId="0" fillId="0" borderId="3" xfId="0" applyBorder="1" applyAlignment="1">
      <alignment horizontal="left"/>
    </xf>
    <xf numFmtId="0" fontId="0" fillId="0" borderId="10" xfId="0" applyBorder="1" applyAlignment="1">
      <alignment horizontal="left"/>
    </xf>
    <xf numFmtId="0" fontId="0" fillId="0" borderId="24" xfId="0" applyBorder="1" applyAlignment="1">
      <alignment horizontal="left"/>
    </xf>
    <xf numFmtId="0" fontId="0" fillId="0" borderId="5" xfId="0" applyBorder="1" applyAlignment="1">
      <alignment horizontal="left"/>
    </xf>
    <xf numFmtId="0" fontId="0" fillId="0" borderId="0" xfId="0" applyAlignment="1">
      <alignment horizontal="left"/>
    </xf>
    <xf numFmtId="0" fontId="0" fillId="6" borderId="24" xfId="0" applyFill="1" applyBorder="1" applyAlignment="1">
      <alignment horizontal="left"/>
    </xf>
    <xf numFmtId="0" fontId="7" fillId="8" borderId="3" xfId="0" applyFont="1" applyFill="1" applyBorder="1" applyAlignment="1">
      <alignment horizontal="centerContinuous" wrapText="1"/>
    </xf>
    <xf numFmtId="43" fontId="0" fillId="0" borderId="0" xfId="1" applyFont="1"/>
    <xf numFmtId="0" fontId="0" fillId="0" borderId="47" xfId="0" applyBorder="1"/>
    <xf numFmtId="0" fontId="5" fillId="0" borderId="48" xfId="0" applyFont="1" applyBorder="1"/>
    <xf numFmtId="0" fontId="0" fillId="0" borderId="49" xfId="0" applyBorder="1"/>
    <xf numFmtId="9" fontId="0" fillId="0" borderId="13" xfId="0" applyNumberFormat="1" applyBorder="1"/>
    <xf numFmtId="9" fontId="0" fillId="0" borderId="11" xfId="0" applyNumberFormat="1" applyBorder="1"/>
    <xf numFmtId="9" fontId="0" fillId="0" borderId="33" xfId="0" applyNumberFormat="1" applyBorder="1"/>
    <xf numFmtId="0" fontId="5" fillId="7" borderId="0" xfId="0" applyFont="1" applyFill="1" applyAlignment="1">
      <alignment horizontal="left"/>
    </xf>
    <xf numFmtId="0" fontId="5" fillId="8" borderId="39" xfId="0" applyFont="1" applyFill="1" applyBorder="1" applyAlignment="1">
      <alignment horizontal="centerContinuous"/>
    </xf>
    <xf numFmtId="0" fontId="5" fillId="8" borderId="31" xfId="0" applyFont="1" applyFill="1" applyBorder="1" applyAlignment="1">
      <alignment horizontal="centerContinuous"/>
    </xf>
    <xf numFmtId="0" fontId="5" fillId="8" borderId="45" xfId="0" applyFont="1" applyFill="1" applyBorder="1" applyAlignment="1">
      <alignment horizontal="centerContinuous"/>
    </xf>
    <xf numFmtId="0" fontId="5" fillId="8" borderId="40" xfId="0" applyFont="1" applyFill="1" applyBorder="1" applyAlignment="1">
      <alignment horizontal="centerContinuous"/>
    </xf>
    <xf numFmtId="8" fontId="0" fillId="0" borderId="51" xfId="0" applyNumberFormat="1" applyBorder="1"/>
    <xf numFmtId="8" fontId="0" fillId="0" borderId="23" xfId="0" applyNumberFormat="1" applyBorder="1"/>
    <xf numFmtId="10" fontId="0" fillId="0" borderId="52" xfId="2" applyNumberFormat="1" applyFont="1" applyFill="1" applyBorder="1"/>
    <xf numFmtId="169" fontId="0" fillId="0" borderId="3" xfId="2" applyNumberFormat="1" applyFont="1" applyBorder="1"/>
    <xf numFmtId="0" fontId="17" fillId="0" borderId="0" xfId="3" applyFont="1"/>
    <xf numFmtId="0" fontId="18" fillId="0" borderId="0" xfId="0" applyFont="1"/>
    <xf numFmtId="0" fontId="19" fillId="0" borderId="0" xfId="0" applyFont="1"/>
    <xf numFmtId="0" fontId="16" fillId="8" borderId="3" xfId="0" applyFont="1" applyFill="1" applyBorder="1" applyAlignment="1">
      <alignment horizontal="centerContinuous"/>
    </xf>
    <xf numFmtId="0" fontId="18" fillId="8" borderId="3" xfId="0" applyFont="1" applyFill="1" applyBorder="1" applyAlignment="1">
      <alignment horizontal="centerContinuous"/>
    </xf>
    <xf numFmtId="0" fontId="20" fillId="8" borderId="3" xfId="0" applyFont="1" applyFill="1" applyBorder="1" applyAlignment="1">
      <alignment horizontal="centerContinuous"/>
    </xf>
    <xf numFmtId="0" fontId="21" fillId="0" borderId="0" xfId="0" applyFont="1"/>
    <xf numFmtId="0" fontId="20" fillId="0" borderId="0" xfId="0" applyFont="1"/>
    <xf numFmtId="164" fontId="21" fillId="0" borderId="3" xfId="2" applyNumberFormat="1" applyFont="1" applyFill="1" applyBorder="1"/>
    <xf numFmtId="0" fontId="20" fillId="5" borderId="3" xfId="0" applyFont="1" applyFill="1" applyBorder="1"/>
    <xf numFmtId="8" fontId="20" fillId="0" borderId="3" xfId="0" applyNumberFormat="1" applyFont="1" applyBorder="1"/>
    <xf numFmtId="164" fontId="20" fillId="0" borderId="3" xfId="2" applyNumberFormat="1" applyFont="1" applyBorder="1"/>
    <xf numFmtId="0" fontId="21" fillId="5" borderId="3" xfId="0" applyFont="1" applyFill="1" applyBorder="1"/>
    <xf numFmtId="0" fontId="21" fillId="0" borderId="0" xfId="0" applyFont="1" applyAlignment="1">
      <alignment horizontal="left" indent="1"/>
    </xf>
    <xf numFmtId="8" fontId="21" fillId="0" borderId="3" xfId="0" applyNumberFormat="1" applyFont="1" applyBorder="1"/>
    <xf numFmtId="8" fontId="21" fillId="0" borderId="3" xfId="2" applyNumberFormat="1" applyFont="1" applyFill="1" applyBorder="1"/>
    <xf numFmtId="164" fontId="21" fillId="0" borderId="10" xfId="2" applyNumberFormat="1" applyFont="1" applyFill="1" applyBorder="1"/>
    <xf numFmtId="164" fontId="21" fillId="0" borderId="8" xfId="2" applyNumberFormat="1" applyFont="1" applyBorder="1"/>
    <xf numFmtId="164" fontId="21" fillId="0" borderId="13" xfId="0" applyNumberFormat="1" applyFont="1" applyBorder="1"/>
    <xf numFmtId="0" fontId="21" fillId="0" borderId="0" xfId="0" applyFont="1" applyAlignment="1">
      <alignment horizontal="left"/>
    </xf>
    <xf numFmtId="164" fontId="21" fillId="0" borderId="0" xfId="2" applyNumberFormat="1" applyFont="1" applyBorder="1"/>
    <xf numFmtId="164" fontId="21" fillId="0" borderId="0" xfId="0" applyNumberFormat="1" applyFont="1"/>
    <xf numFmtId="0" fontId="23" fillId="0" borderId="0" xfId="3" applyFont="1"/>
    <xf numFmtId="0" fontId="21" fillId="0" borderId="21" xfId="0" applyFont="1" applyBorder="1" applyAlignment="1">
      <alignment horizontal="left" indent="1"/>
    </xf>
    <xf numFmtId="6" fontId="4" fillId="9" borderId="2" xfId="5" applyNumberFormat="1" applyFill="1"/>
    <xf numFmtId="164" fontId="4" fillId="9" borderId="2" xfId="5" applyNumberFormat="1" applyFill="1"/>
    <xf numFmtId="166" fontId="21" fillId="0" borderId="0" xfId="0" applyNumberFormat="1" applyFont="1"/>
    <xf numFmtId="0" fontId="18" fillId="0" borderId="0" xfId="0" applyFont="1" applyAlignment="1">
      <alignment horizontal="left"/>
    </xf>
    <xf numFmtId="0" fontId="18" fillId="8" borderId="3" xfId="0" applyFont="1" applyFill="1" applyBorder="1" applyAlignment="1">
      <alignment horizontal="center"/>
    </xf>
    <xf numFmtId="40" fontId="24" fillId="9" borderId="2" xfId="5" applyNumberFormat="1" applyFont="1" applyFill="1"/>
    <xf numFmtId="166" fontId="24" fillId="9" borderId="2" xfId="5" applyNumberFormat="1" applyFont="1" applyFill="1"/>
    <xf numFmtId="166" fontId="21" fillId="0" borderId="3" xfId="0" applyNumberFormat="1" applyFont="1" applyBorder="1"/>
    <xf numFmtId="0" fontId="21" fillId="4" borderId="6" xfId="0" applyFont="1" applyFill="1" applyBorder="1"/>
    <xf numFmtId="40" fontId="21" fillId="4" borderId="6" xfId="0" applyNumberFormat="1" applyFont="1" applyFill="1" applyBorder="1"/>
    <xf numFmtId="166" fontId="21" fillId="4" borderId="6" xfId="0" applyNumberFormat="1" applyFont="1" applyFill="1" applyBorder="1"/>
    <xf numFmtId="0" fontId="21" fillId="0" borderId="47" xfId="0" applyFont="1" applyBorder="1"/>
    <xf numFmtId="0" fontId="18" fillId="0" borderId="48" xfId="0" applyFont="1" applyBorder="1"/>
    <xf numFmtId="0" fontId="21" fillId="0" borderId="49" xfId="0" applyFont="1" applyBorder="1"/>
    <xf numFmtId="0" fontId="18" fillId="8" borderId="39" xfId="0" applyFont="1" applyFill="1" applyBorder="1" applyAlignment="1">
      <alignment horizontal="centerContinuous"/>
    </xf>
    <xf numFmtId="0" fontId="18" fillId="8" borderId="31" xfId="0" applyFont="1" applyFill="1" applyBorder="1" applyAlignment="1">
      <alignment horizontal="centerContinuous"/>
    </xf>
    <xf numFmtId="0" fontId="18" fillId="8" borderId="45" xfId="0" applyFont="1" applyFill="1" applyBorder="1" applyAlignment="1">
      <alignment horizontal="centerContinuous"/>
    </xf>
    <xf numFmtId="0" fontId="18" fillId="8" borderId="40" xfId="0" applyFont="1" applyFill="1" applyBorder="1" applyAlignment="1">
      <alignment horizontal="centerContinuous"/>
    </xf>
    <xf numFmtId="0" fontId="18" fillId="8" borderId="41" xfId="0" applyFont="1" applyFill="1" applyBorder="1" applyAlignment="1">
      <alignment horizontal="center"/>
    </xf>
    <xf numFmtId="0" fontId="18" fillId="8" borderId="42" xfId="0" applyFont="1" applyFill="1" applyBorder="1" applyAlignment="1">
      <alignment horizontal="center"/>
    </xf>
    <xf numFmtId="0" fontId="18" fillId="8" borderId="41" xfId="0" applyFont="1" applyFill="1" applyBorder="1" applyAlignment="1">
      <alignment horizontal="center" wrapText="1"/>
    </xf>
    <xf numFmtId="10" fontId="21" fillId="0" borderId="41" xfId="2" applyNumberFormat="1" applyFont="1" applyBorder="1"/>
    <xf numFmtId="10" fontId="21" fillId="0" borderId="3" xfId="2" applyNumberFormat="1" applyFont="1" applyFill="1" applyBorder="1"/>
    <xf numFmtId="10" fontId="21" fillId="0" borderId="42" xfId="2" applyNumberFormat="1" applyFont="1" applyFill="1" applyBorder="1"/>
    <xf numFmtId="168" fontId="18" fillId="4" borderId="43" xfId="2" applyNumberFormat="1" applyFont="1" applyFill="1" applyBorder="1"/>
    <xf numFmtId="10" fontId="18" fillId="4" borderId="32" xfId="2" applyNumberFormat="1" applyFont="1" applyFill="1" applyBorder="1"/>
    <xf numFmtId="10" fontId="18" fillId="4" borderId="44" xfId="2" applyNumberFormat="1" applyFont="1" applyFill="1" applyBorder="1"/>
    <xf numFmtId="10" fontId="18" fillId="4" borderId="43" xfId="0" applyNumberFormat="1" applyFont="1" applyFill="1" applyBorder="1"/>
    <xf numFmtId="10" fontId="18" fillId="4" borderId="46" xfId="2" applyNumberFormat="1" applyFont="1" applyFill="1" applyBorder="1"/>
    <xf numFmtId="0" fontId="18" fillId="4" borderId="6" xfId="0" applyFont="1" applyFill="1" applyBorder="1"/>
    <xf numFmtId="173" fontId="21" fillId="0" borderId="0" xfId="0" applyNumberFormat="1" applyFont="1"/>
    <xf numFmtId="0" fontId="25" fillId="0" borderId="1" xfId="4" applyFont="1"/>
    <xf numFmtId="0" fontId="26" fillId="0" borderId="0" xfId="0" applyFont="1"/>
    <xf numFmtId="0" fontId="19" fillId="0" borderId="0" xfId="0" applyFont="1" applyAlignment="1">
      <alignment horizontal="left"/>
    </xf>
    <xf numFmtId="166" fontId="25" fillId="0" borderId="1" xfId="4" applyNumberFormat="1" applyFont="1"/>
    <xf numFmtId="0" fontId="21" fillId="0" borderId="3" xfId="0" applyFont="1" applyBorder="1" applyAlignment="1">
      <alignment horizontal="center"/>
    </xf>
    <xf numFmtId="49" fontId="4" fillId="9" borderId="3" xfId="5" applyNumberFormat="1" applyFill="1" applyBorder="1" applyAlignment="1">
      <alignment horizontal="left" vertical="top"/>
    </xf>
    <xf numFmtId="0" fontId="2" fillId="0" borderId="0" xfId="3" applyFill="1"/>
    <xf numFmtId="38" fontId="4" fillId="9" borderId="2" xfId="5" applyNumberFormat="1" applyFill="1"/>
    <xf numFmtId="10" fontId="24" fillId="9" borderId="41" xfId="2" applyNumberFormat="1" applyFont="1" applyFill="1" applyBorder="1"/>
    <xf numFmtId="10" fontId="24" fillId="9" borderId="3" xfId="2" applyNumberFormat="1" applyFont="1" applyFill="1" applyBorder="1"/>
    <xf numFmtId="8" fontId="0" fillId="0" borderId="0" xfId="0" applyNumberFormat="1" applyAlignment="1">
      <alignment horizontal="right"/>
    </xf>
    <xf numFmtId="8" fontId="0" fillId="0" borderId="16" xfId="0" applyNumberFormat="1" applyBorder="1" applyAlignment="1">
      <alignment horizontal="right"/>
    </xf>
    <xf numFmtId="0" fontId="4" fillId="9" borderId="13" xfId="0" applyFont="1" applyFill="1" applyBorder="1"/>
    <xf numFmtId="0" fontId="4" fillId="9" borderId="33" xfId="0" applyFont="1" applyFill="1" applyBorder="1"/>
    <xf numFmtId="8" fontId="4" fillId="9" borderId="13" xfId="0" applyNumberFormat="1" applyFont="1" applyFill="1" applyBorder="1"/>
    <xf numFmtId="8" fontId="4" fillId="9" borderId="33" xfId="0" applyNumberFormat="1" applyFont="1" applyFill="1" applyBorder="1"/>
    <xf numFmtId="8" fontId="6" fillId="0" borderId="13" xfId="0" applyNumberFormat="1" applyFont="1" applyBorder="1"/>
    <xf numFmtId="8" fontId="6" fillId="0" borderId="33" xfId="0" applyNumberFormat="1" applyFont="1" applyBorder="1"/>
    <xf numFmtId="169" fontId="0" fillId="0" borderId="0" xfId="2" applyNumberFormat="1" applyFont="1" applyBorder="1"/>
    <xf numFmtId="9" fontId="0" fillId="0" borderId="0" xfId="0" applyNumberFormat="1"/>
    <xf numFmtId="0" fontId="0" fillId="0" borderId="59" xfId="0" applyBorder="1"/>
    <xf numFmtId="9" fontId="0" fillId="0" borderId="59" xfId="0" applyNumberFormat="1" applyBorder="1"/>
    <xf numFmtId="8" fontId="0" fillId="0" borderId="59" xfId="0" applyNumberFormat="1" applyBorder="1"/>
    <xf numFmtId="8" fontId="0" fillId="0" borderId="60" xfId="0" applyNumberFormat="1" applyBorder="1"/>
    <xf numFmtId="169" fontId="1" fillId="0" borderId="3" xfId="2" applyNumberFormat="1" applyFont="1" applyFill="1" applyBorder="1"/>
    <xf numFmtId="0" fontId="20" fillId="0" borderId="2" xfId="5" applyFont="1" applyFill="1" applyAlignment="1">
      <alignment horizontal="center"/>
    </xf>
    <xf numFmtId="10" fontId="0" fillId="0" borderId="41" xfId="2" applyNumberFormat="1" applyFont="1" applyBorder="1"/>
    <xf numFmtId="10" fontId="0" fillId="0" borderId="42" xfId="2" applyNumberFormat="1" applyFont="1" applyBorder="1"/>
    <xf numFmtId="169" fontId="1" fillId="0" borderId="41" xfId="2" applyNumberFormat="1" applyFont="1" applyFill="1" applyBorder="1"/>
    <xf numFmtId="169" fontId="1" fillId="0" borderId="42" xfId="2" applyNumberFormat="1" applyFont="1" applyFill="1" applyBorder="1"/>
    <xf numFmtId="169" fontId="0" fillId="0" borderId="61" xfId="2" applyNumberFormat="1" applyFont="1" applyBorder="1"/>
    <xf numFmtId="169" fontId="0" fillId="0" borderId="62" xfId="2" applyNumberFormat="1" applyFont="1" applyBorder="1"/>
    <xf numFmtId="169" fontId="0" fillId="0" borderId="63" xfId="2" applyNumberFormat="1" applyFont="1" applyBorder="1"/>
    <xf numFmtId="10" fontId="0" fillId="0" borderId="64" xfId="2" applyNumberFormat="1" applyFont="1" applyBorder="1"/>
    <xf numFmtId="169" fontId="0" fillId="0" borderId="41" xfId="0" applyNumberFormat="1" applyBorder="1"/>
    <xf numFmtId="10" fontId="0" fillId="0" borderId="63" xfId="2" applyNumberFormat="1" applyFont="1" applyFill="1" applyBorder="1"/>
    <xf numFmtId="0" fontId="0" fillId="0" borderId="65" xfId="0" applyBorder="1"/>
    <xf numFmtId="0" fontId="0" fillId="0" borderId="66" xfId="0" applyBorder="1"/>
    <xf numFmtId="0" fontId="25" fillId="0" borderId="7" xfId="6" applyFont="1"/>
    <xf numFmtId="8" fontId="4" fillId="9" borderId="0" xfId="0" applyNumberFormat="1" applyFont="1" applyFill="1"/>
    <xf numFmtId="170" fontId="4" fillId="9" borderId="10" xfId="2" applyNumberFormat="1" applyFont="1" applyFill="1" applyBorder="1" applyAlignment="1" applyProtection="1">
      <alignment horizontal="center"/>
      <protection locked="0"/>
    </xf>
    <xf numFmtId="170" fontId="4" fillId="9" borderId="24" xfId="2" applyNumberFormat="1" applyFont="1" applyFill="1" applyBorder="1" applyAlignment="1" applyProtection="1">
      <alignment horizontal="center"/>
      <protection locked="0"/>
    </xf>
    <xf numFmtId="170" fontId="4" fillId="9" borderId="5" xfId="2" applyNumberFormat="1" applyFont="1" applyFill="1" applyBorder="1" applyAlignment="1" applyProtection="1">
      <alignment horizontal="center"/>
      <protection locked="0"/>
    </xf>
    <xf numFmtId="166" fontId="4" fillId="9" borderId="5" xfId="2" applyNumberFormat="1" applyFont="1" applyFill="1" applyBorder="1" applyAlignment="1" applyProtection="1">
      <alignment horizontal="center"/>
      <protection locked="0"/>
    </xf>
    <xf numFmtId="41" fontId="4" fillId="9" borderId="3" xfId="1" applyNumberFormat="1" applyFont="1" applyFill="1" applyBorder="1" applyAlignment="1" applyProtection="1">
      <alignment horizontal="center"/>
    </xf>
    <xf numFmtId="166" fontId="4" fillId="9" borderId="10" xfId="2" applyNumberFormat="1" applyFont="1" applyFill="1" applyBorder="1" applyAlignment="1" applyProtection="1">
      <alignment horizontal="center"/>
    </xf>
    <xf numFmtId="166" fontId="4" fillId="9" borderId="5" xfId="2" applyNumberFormat="1" applyFont="1" applyFill="1" applyBorder="1" applyAlignment="1" applyProtection="1">
      <alignment horizontal="center"/>
    </xf>
    <xf numFmtId="166" fontId="4" fillId="9" borderId="3" xfId="2" applyNumberFormat="1" applyFont="1" applyFill="1" applyBorder="1" applyAlignment="1" applyProtection="1">
      <alignment horizontal="center"/>
    </xf>
    <xf numFmtId="10" fontId="4" fillId="9" borderId="24" xfId="2" applyNumberFormat="1" applyFont="1" applyFill="1" applyBorder="1" applyAlignment="1" applyProtection="1">
      <alignment horizontal="center"/>
      <protection locked="0"/>
    </xf>
    <xf numFmtId="10" fontId="0" fillId="0" borderId="4" xfId="2" applyNumberFormat="1" applyFont="1" applyBorder="1" applyAlignment="1">
      <alignment horizontal="right"/>
    </xf>
    <xf numFmtId="8" fontId="4" fillId="9" borderId="0" xfId="0" applyNumberFormat="1" applyFont="1" applyFill="1" applyAlignment="1">
      <alignment horizontal="right"/>
    </xf>
    <xf numFmtId="10" fontId="0" fillId="0" borderId="15" xfId="2" applyNumberFormat="1" applyFont="1" applyBorder="1" applyAlignment="1">
      <alignment horizontal="right"/>
    </xf>
    <xf numFmtId="8" fontId="4" fillId="9" borderId="16" xfId="0" applyNumberFormat="1" applyFont="1" applyFill="1" applyBorder="1" applyAlignment="1">
      <alignment horizontal="right"/>
    </xf>
    <xf numFmtId="10" fontId="0" fillId="0" borderId="0" xfId="2" applyNumberFormat="1" applyFont="1" applyBorder="1" applyAlignment="1">
      <alignment horizontal="right"/>
    </xf>
    <xf numFmtId="8" fontId="4" fillId="9" borderId="21" xfId="0" applyNumberFormat="1" applyFont="1" applyFill="1" applyBorder="1" applyAlignment="1">
      <alignment horizontal="right"/>
    </xf>
    <xf numFmtId="10" fontId="4" fillId="9" borderId="4" xfId="2" applyNumberFormat="1" applyFont="1" applyFill="1" applyBorder="1" applyAlignment="1">
      <alignment horizontal="right"/>
    </xf>
    <xf numFmtId="10" fontId="4" fillId="9" borderId="15" xfId="2" applyNumberFormat="1" applyFont="1" applyFill="1" applyBorder="1" applyAlignment="1">
      <alignment horizontal="right"/>
    </xf>
    <xf numFmtId="10" fontId="4" fillId="9" borderId="0" xfId="2" applyNumberFormat="1" applyFont="1" applyFill="1" applyBorder="1" applyAlignment="1">
      <alignment horizontal="right"/>
    </xf>
    <xf numFmtId="8" fontId="0" fillId="0" borderId="21" xfId="0" applyNumberFormat="1" applyBorder="1" applyAlignment="1">
      <alignment horizontal="right"/>
    </xf>
    <xf numFmtId="10" fontId="0" fillId="0" borderId="22" xfId="2" applyNumberFormat="1" applyFont="1" applyBorder="1" applyAlignment="1">
      <alignment horizontal="right"/>
    </xf>
    <xf numFmtId="8" fontId="4" fillId="9" borderId="11" xfId="0" applyNumberFormat="1" applyFont="1" applyFill="1" applyBorder="1" applyAlignment="1">
      <alignment horizontal="right"/>
    </xf>
    <xf numFmtId="10" fontId="0" fillId="0" borderId="17" xfId="2" applyNumberFormat="1" applyFont="1" applyBorder="1" applyAlignment="1">
      <alignment horizontal="right"/>
    </xf>
    <xf numFmtId="8" fontId="4" fillId="9" borderId="18" xfId="0" applyNumberFormat="1" applyFont="1" applyFill="1" applyBorder="1" applyAlignment="1">
      <alignment horizontal="right"/>
    </xf>
    <xf numFmtId="10" fontId="0" fillId="0" borderId="11" xfId="2" applyNumberFormat="1" applyFont="1" applyBorder="1" applyAlignment="1">
      <alignment horizontal="right"/>
    </xf>
    <xf numFmtId="8" fontId="4" fillId="9" borderId="23" xfId="0" applyNumberFormat="1" applyFont="1" applyFill="1" applyBorder="1" applyAlignment="1">
      <alignment horizontal="right"/>
    </xf>
    <xf numFmtId="10" fontId="5" fillId="0" borderId="4" xfId="2" applyNumberFormat="1" applyFont="1" applyFill="1" applyBorder="1" applyAlignment="1">
      <alignment horizontal="right"/>
    </xf>
    <xf numFmtId="8" fontId="5" fillId="0" borderId="0" xfId="0" applyNumberFormat="1" applyFont="1" applyAlignment="1">
      <alignment horizontal="right"/>
    </xf>
    <xf numFmtId="10" fontId="5" fillId="0" borderId="15" xfId="2" applyNumberFormat="1" applyFont="1" applyFill="1" applyBorder="1" applyAlignment="1">
      <alignment horizontal="right"/>
    </xf>
    <xf numFmtId="8" fontId="5" fillId="0" borderId="16" xfId="0" applyNumberFormat="1" applyFont="1" applyBorder="1" applyAlignment="1">
      <alignment horizontal="right"/>
    </xf>
    <xf numFmtId="10" fontId="5" fillId="0" borderId="0" xfId="2" applyNumberFormat="1" applyFont="1" applyFill="1" applyBorder="1" applyAlignment="1">
      <alignment horizontal="right"/>
    </xf>
    <xf numFmtId="8" fontId="5" fillId="0" borderId="21" xfId="0" applyNumberFormat="1" applyFont="1" applyBorder="1" applyAlignment="1">
      <alignment horizontal="right"/>
    </xf>
    <xf numFmtId="169" fontId="4" fillId="9" borderId="4" xfId="2" applyNumberFormat="1" applyFont="1" applyFill="1" applyBorder="1" applyAlignment="1">
      <alignment horizontal="right"/>
    </xf>
    <xf numFmtId="169" fontId="4" fillId="9" borderId="15" xfId="2" applyNumberFormat="1" applyFont="1" applyFill="1" applyBorder="1" applyAlignment="1">
      <alignment horizontal="right"/>
    </xf>
    <xf numFmtId="169" fontId="4" fillId="9" borderId="0" xfId="2" applyNumberFormat="1" applyFont="1" applyFill="1" applyBorder="1" applyAlignment="1">
      <alignment horizontal="right"/>
    </xf>
    <xf numFmtId="10" fontId="0" fillId="9" borderId="26" xfId="2" applyNumberFormat="1" applyFont="1" applyFill="1" applyBorder="1" applyAlignment="1">
      <alignment horizontal="right"/>
    </xf>
    <xf numFmtId="8" fontId="0" fillId="0" borderId="25" xfId="0" applyNumberFormat="1" applyBorder="1" applyAlignment="1">
      <alignment horizontal="right"/>
    </xf>
    <xf numFmtId="10" fontId="0" fillId="9" borderId="27" xfId="2" applyNumberFormat="1" applyFont="1" applyFill="1" applyBorder="1" applyAlignment="1">
      <alignment horizontal="right"/>
    </xf>
    <xf numFmtId="8" fontId="0" fillId="0" borderId="28" xfId="0" applyNumberFormat="1" applyBorder="1" applyAlignment="1">
      <alignment horizontal="right"/>
    </xf>
    <xf numFmtId="10" fontId="0" fillId="9" borderId="25" xfId="2" applyNumberFormat="1" applyFont="1" applyFill="1" applyBorder="1" applyAlignment="1">
      <alignment horizontal="right"/>
    </xf>
    <xf numFmtId="8" fontId="0" fillId="0" borderId="29" xfId="0" applyNumberFormat="1" applyBorder="1" applyAlignment="1">
      <alignment horizontal="right"/>
    </xf>
    <xf numFmtId="10" fontId="0" fillId="0" borderId="26" xfId="2" applyNumberFormat="1" applyFont="1" applyFill="1" applyBorder="1" applyAlignment="1">
      <alignment horizontal="right"/>
    </xf>
    <xf numFmtId="8" fontId="0" fillId="9" borderId="25" xfId="0" applyNumberFormat="1" applyFill="1" applyBorder="1" applyAlignment="1">
      <alignment horizontal="right"/>
    </xf>
    <xf numFmtId="10" fontId="0" fillId="0" borderId="27" xfId="2" applyNumberFormat="1" applyFont="1" applyFill="1" applyBorder="1" applyAlignment="1">
      <alignment horizontal="right"/>
    </xf>
    <xf numFmtId="8" fontId="0" fillId="9" borderId="28" xfId="0" applyNumberFormat="1" applyFill="1" applyBorder="1" applyAlignment="1">
      <alignment horizontal="right"/>
    </xf>
    <xf numFmtId="10" fontId="0" fillId="0" borderId="25" xfId="2" applyNumberFormat="1" applyFont="1" applyFill="1" applyBorder="1" applyAlignment="1">
      <alignment horizontal="right"/>
    </xf>
    <xf numFmtId="8" fontId="0" fillId="9" borderId="29" xfId="0" applyNumberFormat="1" applyFill="1" applyBorder="1" applyAlignment="1">
      <alignment horizontal="right"/>
    </xf>
    <xf numFmtId="8" fontId="0" fillId="9" borderId="11" xfId="0" applyNumberFormat="1" applyFill="1" applyBorder="1" applyAlignment="1">
      <alignment horizontal="right"/>
    </xf>
    <xf numFmtId="8" fontId="0" fillId="9" borderId="18" xfId="0" applyNumberFormat="1" applyFill="1" applyBorder="1" applyAlignment="1">
      <alignment horizontal="right"/>
    </xf>
    <xf numFmtId="8" fontId="0" fillId="9" borderId="23" xfId="0" applyNumberFormat="1" applyFill="1" applyBorder="1" applyAlignment="1">
      <alignment horizontal="right"/>
    </xf>
    <xf numFmtId="170" fontId="4" fillId="4" borderId="10" xfId="2" applyNumberFormat="1" applyFont="1" applyFill="1" applyBorder="1" applyAlignment="1" applyProtection="1">
      <alignment horizontal="center"/>
      <protection locked="0"/>
    </xf>
    <xf numFmtId="0" fontId="0" fillId="0" borderId="10" xfId="2" applyNumberFormat="1" applyFont="1" applyFill="1" applyBorder="1" applyAlignment="1" applyProtection="1">
      <alignment horizontal="center"/>
      <protection locked="0"/>
    </xf>
    <xf numFmtId="166" fontId="4" fillId="4" borderId="24" xfId="2" applyNumberFormat="1" applyFont="1" applyFill="1" applyBorder="1" applyAlignment="1" applyProtection="1">
      <alignment horizontal="center"/>
      <protection locked="0"/>
    </xf>
    <xf numFmtId="166" fontId="4" fillId="4" borderId="5" xfId="2" applyNumberFormat="1" applyFont="1" applyFill="1" applyBorder="1" applyAlignment="1" applyProtection="1">
      <alignment horizontal="center"/>
      <protection locked="0"/>
    </xf>
    <xf numFmtId="166" fontId="6" fillId="4" borderId="5" xfId="2" applyNumberFormat="1" applyFont="1" applyFill="1" applyBorder="1" applyAlignment="1" applyProtection="1">
      <alignment horizontal="center"/>
      <protection locked="0"/>
    </xf>
    <xf numFmtId="166" fontId="6" fillId="4" borderId="24" xfId="2" applyNumberFormat="1" applyFont="1" applyFill="1" applyBorder="1" applyAlignment="1" applyProtection="1">
      <alignment horizontal="center"/>
      <protection locked="0"/>
    </xf>
    <xf numFmtId="10" fontId="4" fillId="4" borderId="0" xfId="2" applyNumberFormat="1" applyFont="1" applyFill="1" applyBorder="1"/>
    <xf numFmtId="10" fontId="4" fillId="4" borderId="11" xfId="2" applyNumberFormat="1" applyFont="1" applyFill="1" applyBorder="1"/>
    <xf numFmtId="8" fontId="4" fillId="4" borderId="0" xfId="0" applyNumberFormat="1" applyFont="1" applyFill="1"/>
    <xf numFmtId="0" fontId="0" fillId="13" borderId="0" xfId="0" applyFill="1"/>
    <xf numFmtId="0" fontId="18" fillId="4" borderId="0" xfId="0" applyFont="1" applyFill="1"/>
    <xf numFmtId="0" fontId="21" fillId="4" borderId="0" xfId="0" applyFont="1" applyFill="1"/>
    <xf numFmtId="10" fontId="4" fillId="2" borderId="2" xfId="5" applyNumberFormat="1"/>
    <xf numFmtId="0" fontId="21" fillId="0" borderId="23" xfId="0" applyFont="1" applyBorder="1" applyAlignment="1">
      <alignment horizontal="center" vertical="top" wrapText="1"/>
    </xf>
    <xf numFmtId="0" fontId="16" fillId="15" borderId="10" xfId="0" applyFont="1" applyFill="1" applyBorder="1" applyAlignment="1">
      <alignment horizontal="center" vertical="top" wrapText="1"/>
    </xf>
    <xf numFmtId="0" fontId="16" fillId="15" borderId="3"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0" borderId="0" xfId="0" applyFont="1" applyAlignment="1">
      <alignment horizontal="center" vertical="top" wrapText="1"/>
    </xf>
    <xf numFmtId="0" fontId="21" fillId="0" borderId="67" xfId="0" applyFont="1" applyBorder="1" applyAlignment="1">
      <alignment horizontal="center" vertical="top" wrapText="1"/>
    </xf>
    <xf numFmtId="165" fontId="21" fillId="16" borderId="3" xfId="1" applyNumberFormat="1" applyFont="1" applyFill="1" applyBorder="1" applyAlignment="1">
      <alignment horizontal="center" vertical="top" wrapText="1"/>
    </xf>
    <xf numFmtId="175" fontId="21" fillId="16" borderId="3" xfId="0" applyNumberFormat="1" applyFont="1" applyFill="1" applyBorder="1" applyAlignment="1">
      <alignment horizontal="center" vertical="top" wrapText="1"/>
    </xf>
    <xf numFmtId="175" fontId="21" fillId="0" borderId="3" xfId="0" applyNumberFormat="1" applyFont="1" applyBorder="1" applyAlignment="1">
      <alignment horizontal="center" vertical="top" wrapText="1"/>
    </xf>
    <xf numFmtId="166" fontId="21" fillId="0" borderId="3" xfId="0" applyNumberFormat="1" applyFont="1" applyBorder="1" applyAlignment="1">
      <alignment horizontal="center" vertical="top" wrapText="1"/>
    </xf>
    <xf numFmtId="166" fontId="21" fillId="0" borderId="9" xfId="0" applyNumberFormat="1" applyFont="1" applyBorder="1" applyAlignment="1">
      <alignment horizontal="center" vertical="top" wrapText="1"/>
    </xf>
    <xf numFmtId="10" fontId="21" fillId="0" borderId="9" xfId="2" applyNumberFormat="1" applyFont="1" applyFill="1" applyBorder="1" applyAlignment="1">
      <alignment horizontal="center" vertical="top" wrapText="1"/>
    </xf>
    <xf numFmtId="1" fontId="21" fillId="4" borderId="3" xfId="0" applyNumberFormat="1" applyFont="1" applyFill="1" applyBorder="1" applyAlignment="1">
      <alignment horizontal="center" vertical="top" wrapText="1"/>
    </xf>
    <xf numFmtId="175" fontId="21" fillId="4" borderId="3" xfId="0" applyNumberFormat="1" applyFont="1" applyFill="1" applyBorder="1" applyAlignment="1">
      <alignment horizontal="center" vertical="top" wrapText="1"/>
    </xf>
    <xf numFmtId="1" fontId="21" fillId="4" borderId="0" xfId="0" applyNumberFormat="1" applyFont="1" applyFill="1" applyAlignment="1">
      <alignment horizontal="center" vertical="top" wrapText="1"/>
    </xf>
    <xf numFmtId="175" fontId="21" fillId="4" borderId="0" xfId="0" applyNumberFormat="1" applyFont="1" applyFill="1" applyAlignment="1">
      <alignment horizontal="center" vertical="top" wrapText="1"/>
    </xf>
    <xf numFmtId="0" fontId="21" fillId="4" borderId="0" xfId="0" applyFont="1" applyFill="1" applyAlignment="1">
      <alignment horizontal="center" vertical="top" wrapText="1"/>
    </xf>
    <xf numFmtId="165" fontId="21" fillId="9" borderId="3" xfId="1" applyNumberFormat="1" applyFont="1" applyFill="1" applyBorder="1" applyAlignment="1">
      <alignment horizontal="center" vertical="top" wrapText="1"/>
    </xf>
    <xf numFmtId="175" fontId="21" fillId="9" borderId="3" xfId="0" applyNumberFormat="1" applyFont="1" applyFill="1" applyBorder="1" applyAlignment="1">
      <alignment horizontal="center" vertical="top" wrapText="1"/>
    </xf>
    <xf numFmtId="175" fontId="21" fillId="4" borderId="0" xfId="0" applyNumberFormat="1" applyFont="1" applyFill="1"/>
    <xf numFmtId="10" fontId="21" fillId="0" borderId="19" xfId="2" applyNumberFormat="1" applyFont="1" applyFill="1" applyBorder="1" applyAlignment="1">
      <alignment horizontal="center" vertical="top" wrapText="1"/>
    </xf>
    <xf numFmtId="1" fontId="21" fillId="4" borderId="3" xfId="2" applyNumberFormat="1" applyFont="1" applyFill="1" applyBorder="1" applyAlignment="1">
      <alignment horizontal="center" vertical="top" wrapText="1"/>
    </xf>
    <xf numFmtId="1" fontId="21" fillId="4" borderId="0" xfId="2" applyNumberFormat="1" applyFont="1" applyFill="1" applyBorder="1" applyAlignment="1">
      <alignment horizontal="center" vertical="top" wrapText="1"/>
    </xf>
    <xf numFmtId="0" fontId="21" fillId="0" borderId="20" xfId="0" applyFont="1" applyBorder="1" applyAlignment="1">
      <alignment horizontal="center" vertical="top" wrapText="1"/>
    </xf>
    <xf numFmtId="175" fontId="21" fillId="16" borderId="10" xfId="0" applyNumberFormat="1" applyFont="1" applyFill="1" applyBorder="1" applyAlignment="1">
      <alignment horizontal="center" vertical="top" wrapText="1"/>
    </xf>
    <xf numFmtId="175" fontId="21" fillId="0" borderId="10" xfId="0" applyNumberFormat="1" applyFont="1" applyBorder="1" applyAlignment="1">
      <alignment horizontal="center" vertical="top" wrapText="1"/>
    </xf>
    <xf numFmtId="166" fontId="21" fillId="0" borderId="10" xfId="0" applyNumberFormat="1" applyFont="1" applyBorder="1" applyAlignment="1">
      <alignment horizontal="center" vertical="top" wrapText="1"/>
    </xf>
    <xf numFmtId="0" fontId="28" fillId="0" borderId="0" xfId="3" applyFont="1"/>
    <xf numFmtId="43" fontId="6" fillId="0" borderId="0" xfId="0" applyNumberFormat="1" applyFont="1"/>
    <xf numFmtId="9" fontId="6" fillId="0" borderId="0" xfId="2" applyFont="1"/>
    <xf numFmtId="0" fontId="6" fillId="0" borderId="0" xfId="0" applyFont="1"/>
    <xf numFmtId="0" fontId="29" fillId="0" borderId="0" xfId="3" applyFont="1"/>
    <xf numFmtId="0" fontId="28" fillId="0" borderId="0" xfId="3" applyFont="1" applyFill="1"/>
    <xf numFmtId="165" fontId="21" fillId="0" borderId="0" xfId="0" applyNumberFormat="1" applyFont="1"/>
    <xf numFmtId="165" fontId="21" fillId="0" borderId="3" xfId="0" applyNumberFormat="1" applyFont="1" applyBorder="1"/>
    <xf numFmtId="165" fontId="21" fillId="0" borderId="10" xfId="0" applyNumberFormat="1" applyFont="1" applyBorder="1"/>
    <xf numFmtId="0" fontId="31" fillId="0" borderId="0" xfId="3" applyFont="1"/>
    <xf numFmtId="0" fontId="31" fillId="0" borderId="0" xfId="3" applyFont="1" applyFill="1"/>
    <xf numFmtId="0" fontId="17" fillId="0" borderId="0" xfId="3" applyFont="1" applyFill="1"/>
    <xf numFmtId="0" fontId="35" fillId="0" borderId="0" xfId="0" applyFont="1" applyAlignment="1">
      <alignment horizontal="center"/>
    </xf>
    <xf numFmtId="175" fontId="21" fillId="0" borderId="0" xfId="0" applyNumberFormat="1" applyFont="1"/>
    <xf numFmtId="0" fontId="0" fillId="4" borderId="0" xfId="0" applyFill="1"/>
    <xf numFmtId="10" fontId="0" fillId="4" borderId="3" xfId="2" applyNumberFormat="1" applyFont="1" applyFill="1" applyBorder="1"/>
    <xf numFmtId="0" fontId="0" fillId="0" borderId="23" xfId="0" applyBorder="1"/>
    <xf numFmtId="0" fontId="37" fillId="18" borderId="0" xfId="0" applyFont="1" applyFill="1"/>
    <xf numFmtId="0" fontId="37" fillId="18" borderId="71" xfId="0" applyFont="1" applyFill="1" applyBorder="1"/>
    <xf numFmtId="0" fontId="37" fillId="18" borderId="72" xfId="0" applyFont="1" applyFill="1" applyBorder="1"/>
    <xf numFmtId="0" fontId="37" fillId="18" borderId="73" xfId="0" applyFont="1" applyFill="1" applyBorder="1"/>
    <xf numFmtId="49" fontId="4" fillId="9" borderId="9" xfId="5" applyNumberFormat="1" applyFill="1" applyBorder="1" applyAlignment="1">
      <alignment horizontal="left" vertical="top" wrapText="1"/>
    </xf>
    <xf numFmtId="10" fontId="21" fillId="0" borderId="0" xfId="2" applyNumberFormat="1" applyFont="1" applyFill="1" applyBorder="1" applyAlignment="1">
      <alignment horizontal="center" vertical="top" wrapText="1"/>
    </xf>
    <xf numFmtId="0" fontId="18" fillId="4" borderId="0" xfId="0" applyFont="1" applyFill="1" applyAlignment="1">
      <alignment horizontal="left"/>
    </xf>
    <xf numFmtId="164" fontId="21" fillId="0" borderId="8" xfId="2" applyNumberFormat="1" applyFont="1" applyFill="1" applyBorder="1"/>
    <xf numFmtId="0" fontId="38" fillId="0" borderId="0" xfId="3" applyFont="1" applyFill="1"/>
    <xf numFmtId="0" fontId="21" fillId="13" borderId="0" xfId="0" applyFont="1" applyFill="1"/>
    <xf numFmtId="0" fontId="18" fillId="8" borderId="3" xfId="0" applyFont="1" applyFill="1" applyBorder="1" applyAlignment="1">
      <alignment horizontal="left" indent="1"/>
    </xf>
    <xf numFmtId="0" fontId="21" fillId="0" borderId="3" xfId="0" applyFont="1" applyBorder="1" applyAlignment="1">
      <alignment horizontal="left" indent="1"/>
    </xf>
    <xf numFmtId="0" fontId="21" fillId="4" borderId="6" xfId="0" applyFont="1" applyFill="1" applyBorder="1" applyAlignment="1">
      <alignment horizontal="left" indent="1"/>
    </xf>
    <xf numFmtId="0" fontId="21" fillId="0" borderId="9" xfId="0" applyFont="1" applyBorder="1" applyAlignment="1">
      <alignment horizontal="left" indent="1"/>
    </xf>
    <xf numFmtId="0" fontId="18" fillId="4" borderId="74" xfId="0" applyFont="1" applyFill="1" applyBorder="1" applyAlignment="1">
      <alignment horizontal="left" indent="1"/>
    </xf>
    <xf numFmtId="0" fontId="0" fillId="0" borderId="19" xfId="0" applyBorder="1" applyAlignment="1">
      <alignment horizontal="left" indent="1"/>
    </xf>
    <xf numFmtId="0" fontId="0" fillId="0" borderId="50" xfId="0" applyBorder="1" applyAlignment="1">
      <alignment horizontal="left" indent="1"/>
    </xf>
    <xf numFmtId="0" fontId="0" fillId="0" borderId="22" xfId="0" applyBorder="1" applyAlignment="1">
      <alignment horizontal="left" indent="1"/>
    </xf>
    <xf numFmtId="0" fontId="0" fillId="0" borderId="4" xfId="0" applyBorder="1" applyAlignment="1">
      <alignment horizontal="left" indent="1"/>
    </xf>
    <xf numFmtId="0" fontId="0" fillId="0" borderId="58" xfId="0" applyBorder="1" applyAlignment="1">
      <alignment horizontal="left" indent="1"/>
    </xf>
    <xf numFmtId="0" fontId="0" fillId="0" borderId="9" xfId="0" applyBorder="1" applyAlignment="1">
      <alignment horizontal="left" indent="1"/>
    </xf>
    <xf numFmtId="0" fontId="18" fillId="8" borderId="3" xfId="0" applyFont="1" applyFill="1" applyBorder="1" applyAlignment="1">
      <alignment horizontal="left" vertical="center"/>
    </xf>
    <xf numFmtId="0" fontId="18" fillId="8" borderId="3" xfId="0" applyFont="1" applyFill="1" applyBorder="1" applyAlignment="1">
      <alignment horizontal="center" vertical="center"/>
    </xf>
    <xf numFmtId="0" fontId="21" fillId="0" borderId="0" xfId="0" applyFont="1" applyAlignment="1">
      <alignment vertical="center"/>
    </xf>
    <xf numFmtId="0" fontId="18" fillId="8" borderId="41"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41" xfId="0" applyFont="1" applyFill="1" applyBorder="1" applyAlignment="1">
      <alignment horizontal="center" vertical="center" wrapText="1"/>
    </xf>
    <xf numFmtId="0" fontId="21" fillId="0" borderId="0" xfId="0" applyFont="1" applyAlignment="1">
      <alignment horizontal="center"/>
    </xf>
    <xf numFmtId="0" fontId="16" fillId="8" borderId="3" xfId="0" applyFont="1" applyFill="1" applyBorder="1" applyAlignment="1">
      <alignment horizontal="center" vertical="center" wrapText="1"/>
    </xf>
    <xf numFmtId="0" fontId="16" fillId="8" borderId="3" xfId="0" applyFont="1" applyFill="1" applyBorder="1" applyAlignment="1">
      <alignment horizontal="center" vertical="center"/>
    </xf>
    <xf numFmtId="0" fontId="22" fillId="11" borderId="3" xfId="0" applyFont="1" applyFill="1" applyBorder="1" applyAlignment="1">
      <alignment horizontal="center" vertical="center" wrapText="1"/>
    </xf>
    <xf numFmtId="0" fontId="5" fillId="8" borderId="3" xfId="0" applyFont="1" applyFill="1" applyBorder="1" applyAlignment="1">
      <alignment horizontal="left" vertical="center"/>
    </xf>
    <xf numFmtId="0" fontId="5" fillId="8" borderId="3" xfId="0" applyFont="1" applyFill="1" applyBorder="1" applyAlignment="1">
      <alignment horizontal="center" vertical="center" wrapText="1"/>
    </xf>
    <xf numFmtId="0" fontId="5" fillId="8" borderId="3" xfId="0" applyFont="1" applyFill="1" applyBorder="1" applyAlignment="1">
      <alignment horizontal="center" vertical="center"/>
    </xf>
    <xf numFmtId="0" fontId="0" fillId="0" borderId="0" xfId="0" applyAlignment="1">
      <alignment vertical="center"/>
    </xf>
    <xf numFmtId="0" fontId="5" fillId="8" borderId="9" xfId="0" applyFont="1" applyFill="1" applyBorder="1" applyAlignment="1">
      <alignment horizontal="left" vertical="center"/>
    </xf>
    <xf numFmtId="0" fontId="5" fillId="8" borderId="41"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8" borderId="42" xfId="0" applyFont="1" applyFill="1" applyBorder="1" applyAlignment="1">
      <alignment horizontal="center" vertical="center"/>
    </xf>
    <xf numFmtId="0" fontId="21" fillId="0" borderId="23" xfId="0" applyFont="1" applyBorder="1" applyAlignment="1">
      <alignment horizontal="center" vertical="center" wrapText="1"/>
    </xf>
    <xf numFmtId="0" fontId="21" fillId="0" borderId="5" xfId="0" applyFont="1" applyBorder="1" applyAlignment="1">
      <alignment horizontal="center" vertical="center" wrapText="1"/>
    </xf>
    <xf numFmtId="0" fontId="21" fillId="14" borderId="5" xfId="0" applyFont="1" applyFill="1" applyBorder="1" applyAlignment="1">
      <alignment horizontal="center" vertical="center" wrapText="1"/>
    </xf>
    <xf numFmtId="0" fontId="21" fillId="0" borderId="22" xfId="0" applyFont="1" applyBorder="1" applyAlignment="1">
      <alignment horizontal="center" vertical="center" wrapText="1"/>
    </xf>
    <xf numFmtId="0" fontId="30" fillId="17" borderId="23" xfId="0" applyFont="1" applyFill="1" applyBorder="1" applyAlignment="1">
      <alignment horizontal="center" vertical="center" wrapText="1"/>
    </xf>
    <xf numFmtId="0" fontId="30" fillId="17" borderId="5" xfId="0" applyFont="1" applyFill="1" applyBorder="1" applyAlignment="1">
      <alignment horizontal="center" vertical="center" wrapText="1"/>
    </xf>
    <xf numFmtId="176" fontId="21" fillId="0" borderId="3" xfId="0" applyNumberFormat="1" applyFont="1" applyBorder="1"/>
    <xf numFmtId="176" fontId="21" fillId="0" borderId="10" xfId="0" applyNumberFormat="1" applyFont="1" applyBorder="1"/>
    <xf numFmtId="177" fontId="21" fillId="0" borderId="3" xfId="0" applyNumberFormat="1" applyFont="1" applyBorder="1" applyAlignment="1">
      <alignment horizontal="center" vertical="top" wrapText="1"/>
    </xf>
    <xf numFmtId="177" fontId="21" fillId="0" borderId="10" xfId="0" applyNumberFormat="1" applyFont="1" applyBorder="1" applyAlignment="1">
      <alignment horizontal="center" vertical="top" wrapText="1"/>
    </xf>
    <xf numFmtId="165" fontId="21" fillId="9" borderId="5" xfId="1" applyNumberFormat="1" applyFont="1" applyFill="1" applyBorder="1" applyAlignment="1">
      <alignment horizontal="center" vertical="top" wrapText="1"/>
    </xf>
    <xf numFmtId="175" fontId="21" fillId="9" borderId="5" xfId="0" applyNumberFormat="1" applyFont="1" applyFill="1" applyBorder="1" applyAlignment="1">
      <alignment horizontal="center" vertical="top" wrapText="1"/>
    </xf>
    <xf numFmtId="177" fontId="21" fillId="0" borderId="5" xfId="0" applyNumberFormat="1" applyFont="1" applyBorder="1" applyAlignment="1">
      <alignment horizontal="center" vertical="top" wrapText="1"/>
    </xf>
    <xf numFmtId="175" fontId="21" fillId="0" borderId="5" xfId="0" applyNumberFormat="1" applyFont="1" applyBorder="1" applyAlignment="1">
      <alignment horizontal="center" vertical="top" wrapText="1"/>
    </xf>
    <xf numFmtId="166" fontId="21" fillId="0" borderId="5" xfId="0" applyNumberFormat="1" applyFont="1" applyBorder="1" applyAlignment="1">
      <alignment horizontal="center" vertical="top" wrapText="1"/>
    </xf>
    <xf numFmtId="166" fontId="21" fillId="0" borderId="22" xfId="0" applyNumberFormat="1" applyFont="1" applyBorder="1" applyAlignment="1">
      <alignment horizontal="center" vertical="top" wrapText="1"/>
    </xf>
    <xf numFmtId="10" fontId="21" fillId="0" borderId="22" xfId="2" applyNumberFormat="1" applyFont="1" applyFill="1" applyBorder="1" applyAlignment="1">
      <alignment horizontal="center" vertical="top" wrapText="1"/>
    </xf>
    <xf numFmtId="0" fontId="21" fillId="0" borderId="75" xfId="0" applyFont="1" applyBorder="1" applyAlignment="1">
      <alignment horizontal="center" vertical="top" wrapText="1"/>
    </xf>
    <xf numFmtId="165" fontId="21" fillId="16" borderId="32" xfId="1" applyNumberFormat="1" applyFont="1" applyFill="1" applyBorder="1" applyAlignment="1">
      <alignment horizontal="center" vertical="top" wrapText="1"/>
    </xf>
    <xf numFmtId="175" fontId="21" fillId="16" borderId="32" xfId="0" applyNumberFormat="1" applyFont="1" applyFill="1" applyBorder="1" applyAlignment="1">
      <alignment horizontal="center" vertical="top" wrapText="1"/>
    </xf>
    <xf numFmtId="177" fontId="21" fillId="0" borderId="32" xfId="0" applyNumberFormat="1" applyFont="1" applyBorder="1" applyAlignment="1">
      <alignment horizontal="center" vertical="top" wrapText="1"/>
    </xf>
    <xf numFmtId="175" fontId="21" fillId="0" borderId="32" xfId="0" applyNumberFormat="1" applyFont="1" applyBorder="1" applyAlignment="1">
      <alignment horizontal="center" vertical="top" wrapText="1"/>
    </xf>
    <xf numFmtId="166" fontId="21" fillId="0" borderId="32" xfId="0" applyNumberFormat="1" applyFont="1" applyBorder="1" applyAlignment="1">
      <alignment horizontal="center" vertical="top" wrapText="1"/>
    </xf>
    <xf numFmtId="166" fontId="21" fillId="0" borderId="46" xfId="0" applyNumberFormat="1" applyFont="1" applyBorder="1" applyAlignment="1">
      <alignment horizontal="center" vertical="top" wrapText="1"/>
    </xf>
    <xf numFmtId="10" fontId="21" fillId="0" borderId="46" xfId="2" applyNumberFormat="1" applyFont="1" applyFill="1" applyBorder="1" applyAlignment="1">
      <alignment horizontal="center" vertical="top" wrapText="1"/>
    </xf>
    <xf numFmtId="165" fontId="21" fillId="16" borderId="5" xfId="1" applyNumberFormat="1" applyFont="1" applyFill="1" applyBorder="1" applyAlignment="1">
      <alignment horizontal="center" vertical="top" wrapText="1"/>
    </xf>
    <xf numFmtId="175" fontId="21" fillId="16" borderId="5" xfId="0" applyNumberFormat="1" applyFont="1" applyFill="1" applyBorder="1" applyAlignment="1">
      <alignment horizontal="center" vertical="top" wrapText="1"/>
    </xf>
    <xf numFmtId="10" fontId="21" fillId="0" borderId="4" xfId="2" applyNumberFormat="1" applyFont="1" applyFill="1" applyBorder="1" applyAlignment="1">
      <alignment horizontal="center" vertical="top" wrapText="1"/>
    </xf>
    <xf numFmtId="165" fontId="21" fillId="9" borderId="32" xfId="1" applyNumberFormat="1" applyFont="1" applyFill="1" applyBorder="1" applyAlignment="1">
      <alignment horizontal="center" vertical="top" wrapText="1"/>
    </xf>
    <xf numFmtId="175" fontId="21" fillId="9" borderId="32" xfId="0" applyNumberFormat="1" applyFont="1" applyFill="1" applyBorder="1" applyAlignment="1">
      <alignment horizontal="center" vertical="top" wrapText="1"/>
    </xf>
    <xf numFmtId="176" fontId="21" fillId="16" borderId="3" xfId="0" applyNumberFormat="1" applyFont="1" applyFill="1" applyBorder="1" applyAlignment="1">
      <alignment horizontal="center" wrapText="1"/>
    </xf>
    <xf numFmtId="176" fontId="21" fillId="16" borderId="32" xfId="0" applyNumberFormat="1" applyFont="1" applyFill="1" applyBorder="1" applyAlignment="1">
      <alignment horizontal="center" wrapText="1"/>
    </xf>
    <xf numFmtId="176" fontId="21" fillId="9" borderId="5" xfId="0" applyNumberFormat="1" applyFont="1" applyFill="1" applyBorder="1" applyAlignment="1">
      <alignment horizontal="center" wrapText="1"/>
    </xf>
    <xf numFmtId="176" fontId="21" fillId="9" borderId="3" xfId="0" applyNumberFormat="1" applyFont="1" applyFill="1" applyBorder="1" applyAlignment="1">
      <alignment horizontal="center" wrapText="1"/>
    </xf>
    <xf numFmtId="176" fontId="21" fillId="9" borderId="32" xfId="0" applyNumberFormat="1" applyFont="1" applyFill="1" applyBorder="1" applyAlignment="1">
      <alignment horizontal="center" wrapText="1"/>
    </xf>
    <xf numFmtId="176" fontId="21" fillId="16" borderId="5" xfId="0" applyNumberFormat="1" applyFont="1" applyFill="1" applyBorder="1" applyAlignment="1">
      <alignment horizontal="center" wrapText="1"/>
    </xf>
    <xf numFmtId="176" fontId="21" fillId="0" borderId="3" xfId="0" applyNumberFormat="1" applyFont="1" applyBorder="1" applyAlignment="1">
      <alignment horizontal="center"/>
    </xf>
    <xf numFmtId="176" fontId="21" fillId="0" borderId="32" xfId="0" applyNumberFormat="1" applyFont="1" applyBorder="1" applyAlignment="1">
      <alignment horizontal="center"/>
    </xf>
    <xf numFmtId="176" fontId="21" fillId="0" borderId="5" xfId="0" applyNumberFormat="1" applyFont="1" applyBorder="1" applyAlignment="1">
      <alignment horizontal="center"/>
    </xf>
    <xf numFmtId="176" fontId="21" fillId="16" borderId="10" xfId="0" applyNumberFormat="1" applyFont="1" applyFill="1" applyBorder="1" applyAlignment="1">
      <alignment horizontal="center" wrapText="1"/>
    </xf>
    <xf numFmtId="176" fontId="21" fillId="16" borderId="3" xfId="1" applyNumberFormat="1" applyFont="1" applyFill="1" applyBorder="1" applyAlignment="1">
      <alignment horizontal="center" wrapText="1"/>
    </xf>
    <xf numFmtId="176" fontId="21" fillId="16" borderId="32" xfId="1" applyNumberFormat="1" applyFont="1" applyFill="1" applyBorder="1" applyAlignment="1">
      <alignment horizontal="center" wrapText="1"/>
    </xf>
    <xf numFmtId="176" fontId="21" fillId="9" borderId="5" xfId="1" applyNumberFormat="1" applyFont="1" applyFill="1" applyBorder="1" applyAlignment="1">
      <alignment horizontal="center" wrapText="1"/>
    </xf>
    <xf numFmtId="176" fontId="21" fillId="9" borderId="3" xfId="1" applyNumberFormat="1" applyFont="1" applyFill="1" applyBorder="1" applyAlignment="1">
      <alignment horizontal="center" wrapText="1"/>
    </xf>
    <xf numFmtId="176" fontId="21" fillId="9" borderId="32" xfId="1" applyNumberFormat="1" applyFont="1" applyFill="1" applyBorder="1" applyAlignment="1">
      <alignment horizontal="center" wrapText="1"/>
    </xf>
    <xf numFmtId="176" fontId="21" fillId="16" borderId="5" xfId="1" applyNumberFormat="1" applyFont="1" applyFill="1" applyBorder="1" applyAlignment="1">
      <alignment horizontal="center" wrapText="1"/>
    </xf>
    <xf numFmtId="176" fontId="21" fillId="16" borderId="10" xfId="1" applyNumberFormat="1" applyFont="1" applyFill="1" applyBorder="1" applyAlignment="1">
      <alignment horizontal="center" wrapText="1"/>
    </xf>
    <xf numFmtId="0" fontId="30" fillId="14" borderId="3" xfId="0" applyFont="1" applyFill="1" applyBorder="1" applyAlignment="1">
      <alignment horizontal="centerContinuous"/>
    </xf>
    <xf numFmtId="0" fontId="0" fillId="0" borderId="0" xfId="0" applyAlignment="1">
      <alignment wrapText="1"/>
    </xf>
    <xf numFmtId="0" fontId="21" fillId="9" borderId="0" xfId="0" applyFont="1" applyFill="1" applyAlignment="1">
      <alignment horizontal="left" vertical="top" wrapText="1"/>
    </xf>
    <xf numFmtId="0" fontId="6" fillId="8" borderId="10" xfId="0" applyFont="1" applyFill="1" applyBorder="1" applyAlignment="1">
      <alignment horizontal="center" wrapText="1"/>
    </xf>
    <xf numFmtId="0" fontId="0" fillId="0" borderId="3" xfId="0" applyBorder="1" applyAlignment="1">
      <alignment horizontal="left" indent="1"/>
    </xf>
    <xf numFmtId="0" fontId="5" fillId="18" borderId="23" xfId="0" applyFont="1" applyFill="1" applyBorder="1" applyAlignment="1">
      <alignment horizontal="center"/>
    </xf>
    <xf numFmtId="0" fontId="5" fillId="18" borderId="22" xfId="0" applyFont="1" applyFill="1" applyBorder="1" applyAlignment="1">
      <alignment horizontal="center"/>
    </xf>
    <xf numFmtId="0" fontId="39" fillId="0" borderId="67" xfId="0" applyFont="1" applyBorder="1" applyAlignment="1">
      <alignment vertical="center" wrapText="1"/>
    </xf>
    <xf numFmtId="2" fontId="0" fillId="0" borderId="9" xfId="0" applyNumberFormat="1" applyBorder="1"/>
    <xf numFmtId="0" fontId="39" fillId="0" borderId="20" xfId="0" applyFont="1" applyBorder="1" applyAlignment="1">
      <alignment vertical="center" wrapText="1"/>
    </xf>
    <xf numFmtId="2" fontId="0" fillId="0" borderId="19" xfId="0" applyNumberFormat="1" applyBorder="1"/>
    <xf numFmtId="0" fontId="0" fillId="0" borderId="0" xfId="0" applyAlignment="1">
      <alignment horizontal="center" vertical="center"/>
    </xf>
    <xf numFmtId="0" fontId="0" fillId="0" borderId="0" xfId="0" applyAlignment="1">
      <alignment vertical="top"/>
    </xf>
    <xf numFmtId="0" fontId="41" fillId="18" borderId="0" xfId="0" applyFont="1" applyFill="1"/>
    <xf numFmtId="0" fontId="39" fillId="19" borderId="3" xfId="0" applyFont="1" applyFill="1" applyBorder="1" applyAlignment="1">
      <alignment vertical="center" wrapText="1"/>
    </xf>
    <xf numFmtId="0" fontId="39" fillId="0" borderId="3" xfId="0" applyFont="1" applyBorder="1" applyAlignment="1">
      <alignment vertical="center" wrapText="1"/>
    </xf>
    <xf numFmtId="0" fontId="40" fillId="18" borderId="3" xfId="0" applyFont="1" applyFill="1" applyBorder="1" applyAlignment="1">
      <alignment horizontal="center"/>
    </xf>
    <xf numFmtId="0" fontId="17" fillId="0" borderId="0" xfId="3" applyFont="1" applyFill="1" applyAlignment="1">
      <alignment vertical="top"/>
    </xf>
    <xf numFmtId="10" fontId="0" fillId="0" borderId="0" xfId="2" applyNumberFormat="1" applyFont="1" applyAlignment="1">
      <alignment horizontal="right"/>
    </xf>
    <xf numFmtId="10" fontId="0" fillId="0" borderId="16" xfId="2" applyNumberFormat="1" applyFont="1" applyBorder="1" applyAlignment="1">
      <alignment horizontal="right"/>
    </xf>
    <xf numFmtId="10" fontId="0" fillId="0" borderId="21" xfId="2" applyNumberFormat="1" applyFont="1" applyBorder="1" applyAlignment="1">
      <alignment horizontal="right"/>
    </xf>
    <xf numFmtId="10" fontId="6" fillId="0" borderId="4" xfId="2" applyNumberFormat="1" applyFont="1" applyFill="1" applyBorder="1" applyAlignment="1">
      <alignment horizontal="right"/>
    </xf>
    <xf numFmtId="10" fontId="6" fillId="0" borderId="0" xfId="2" applyNumberFormat="1" applyFont="1" applyFill="1" applyAlignment="1">
      <alignment horizontal="right"/>
    </xf>
    <xf numFmtId="10" fontId="6" fillId="0" borderId="22" xfId="2" applyNumberFormat="1" applyFont="1" applyFill="1" applyBorder="1" applyAlignment="1">
      <alignment horizontal="right"/>
    </xf>
    <xf numFmtId="10" fontId="6" fillId="0" borderId="11" xfId="2" applyNumberFormat="1" applyFont="1" applyFill="1" applyBorder="1" applyAlignment="1">
      <alignment horizontal="right"/>
    </xf>
    <xf numFmtId="10" fontId="7" fillId="0" borderId="4" xfId="2" applyNumberFormat="1" applyFont="1" applyFill="1" applyBorder="1" applyAlignment="1">
      <alignment horizontal="right"/>
    </xf>
    <xf numFmtId="10" fontId="7" fillId="0" borderId="0" xfId="2" applyNumberFormat="1" applyFont="1" applyFill="1" applyAlignment="1">
      <alignment horizontal="right"/>
    </xf>
    <xf numFmtId="10" fontId="7" fillId="0" borderId="15" xfId="2" applyNumberFormat="1" applyFont="1" applyFill="1" applyBorder="1" applyAlignment="1">
      <alignment horizontal="right"/>
    </xf>
    <xf numFmtId="10" fontId="7" fillId="0" borderId="0" xfId="2" applyNumberFormat="1" applyFont="1" applyFill="1" applyBorder="1" applyAlignment="1">
      <alignment horizontal="right"/>
    </xf>
    <xf numFmtId="10" fontId="6" fillId="0" borderId="15" xfId="2" applyNumberFormat="1" applyFont="1" applyFill="1" applyBorder="1" applyAlignment="1">
      <alignment horizontal="right"/>
    </xf>
    <xf numFmtId="10" fontId="6" fillId="0" borderId="16" xfId="2" applyNumberFormat="1" applyFont="1" applyFill="1" applyBorder="1" applyAlignment="1">
      <alignment horizontal="right"/>
    </xf>
    <xf numFmtId="10" fontId="6" fillId="0" borderId="0" xfId="2" applyNumberFormat="1" applyFont="1" applyFill="1" applyBorder="1" applyAlignment="1">
      <alignment horizontal="right"/>
    </xf>
    <xf numFmtId="10" fontId="6" fillId="0" borderId="21" xfId="2" applyNumberFormat="1" applyFont="1" applyFill="1" applyBorder="1" applyAlignment="1">
      <alignment horizontal="right"/>
    </xf>
    <xf numFmtId="10" fontId="6" fillId="0" borderId="17" xfId="2" applyNumberFormat="1" applyFont="1" applyFill="1" applyBorder="1" applyAlignment="1">
      <alignment horizontal="right"/>
    </xf>
    <xf numFmtId="10" fontId="6" fillId="0" borderId="18" xfId="2" applyNumberFormat="1" applyFont="1" applyFill="1" applyBorder="1" applyAlignment="1">
      <alignment horizontal="right"/>
    </xf>
    <xf numFmtId="10" fontId="6" fillId="0" borderId="23" xfId="2" applyNumberFormat="1" applyFont="1" applyFill="1" applyBorder="1" applyAlignment="1">
      <alignment horizontal="right"/>
    </xf>
    <xf numFmtId="10" fontId="7" fillId="0" borderId="16" xfId="2" applyNumberFormat="1" applyFont="1" applyFill="1" applyBorder="1" applyAlignment="1">
      <alignment horizontal="right"/>
    </xf>
    <xf numFmtId="10" fontId="7" fillId="0" borderId="21" xfId="2" applyNumberFormat="1" applyFont="1" applyFill="1" applyBorder="1" applyAlignment="1">
      <alignment horizontal="right"/>
    </xf>
    <xf numFmtId="10" fontId="6" fillId="0" borderId="26" xfId="2" applyNumberFormat="1" applyFont="1" applyFill="1" applyBorder="1" applyAlignment="1">
      <alignment horizontal="right"/>
    </xf>
    <xf numFmtId="10" fontId="6" fillId="0" borderId="25" xfId="2" applyNumberFormat="1" applyFont="1" applyFill="1" applyBorder="1" applyAlignment="1">
      <alignment horizontal="right"/>
    </xf>
    <xf numFmtId="10" fontId="6" fillId="0" borderId="27" xfId="2" applyNumberFormat="1" applyFont="1" applyFill="1" applyBorder="1" applyAlignment="1">
      <alignment horizontal="right"/>
    </xf>
    <xf numFmtId="10" fontId="6" fillId="0" borderId="28" xfId="2" applyNumberFormat="1" applyFont="1" applyFill="1" applyBorder="1" applyAlignment="1">
      <alignment horizontal="right"/>
    </xf>
    <xf numFmtId="10" fontId="6" fillId="0" borderId="29" xfId="2" applyNumberFormat="1" applyFont="1" applyFill="1" applyBorder="1" applyAlignment="1">
      <alignment horizontal="right"/>
    </xf>
    <xf numFmtId="171" fontId="6" fillId="6" borderId="3" xfId="1" applyNumberFormat="1" applyFont="1" applyFill="1" applyBorder="1" applyAlignment="1" applyProtection="1">
      <alignment horizontal="center"/>
    </xf>
    <xf numFmtId="171" fontId="6" fillId="0" borderId="3" xfId="1" applyNumberFormat="1" applyFont="1" applyFill="1" applyBorder="1" applyAlignment="1" applyProtection="1">
      <alignment horizontal="center"/>
    </xf>
    <xf numFmtId="171" fontId="6" fillId="0" borderId="0" xfId="1" applyNumberFormat="1" applyFont="1"/>
    <xf numFmtId="171" fontId="6" fillId="0" borderId="10" xfId="1" applyNumberFormat="1" applyFont="1" applyFill="1" applyBorder="1" applyAlignment="1" applyProtection="1">
      <alignment horizontal="center"/>
      <protection locked="0"/>
    </xf>
    <xf numFmtId="171" fontId="6" fillId="6" borderId="24" xfId="1" applyNumberFormat="1" applyFont="1" applyFill="1" applyBorder="1" applyAlignment="1" applyProtection="1">
      <alignment horizontal="center"/>
      <protection locked="0"/>
    </xf>
    <xf numFmtId="171" fontId="6" fillId="0" borderId="24" xfId="1" applyNumberFormat="1" applyFont="1" applyFill="1" applyBorder="1" applyAlignment="1" applyProtection="1">
      <alignment horizontal="center"/>
      <protection locked="0"/>
    </xf>
    <xf numFmtId="171" fontId="6" fillId="0" borderId="5" xfId="1" applyNumberFormat="1" applyFont="1" applyFill="1" applyBorder="1" applyAlignment="1" applyProtection="1">
      <alignment horizontal="center"/>
      <protection locked="0"/>
    </xf>
    <xf numFmtId="171" fontId="6" fillId="6" borderId="5" xfId="1" applyNumberFormat="1" applyFont="1" applyFill="1" applyBorder="1" applyAlignment="1" applyProtection="1">
      <alignment horizontal="center"/>
    </xf>
    <xf numFmtId="171" fontId="6" fillId="0" borderId="10" xfId="1" applyNumberFormat="1" applyFont="1" applyFill="1" applyBorder="1" applyAlignment="1" applyProtection="1">
      <alignment horizontal="center"/>
    </xf>
    <xf numFmtId="171" fontId="6" fillId="6" borderId="10" xfId="1" applyNumberFormat="1" applyFont="1" applyFill="1" applyBorder="1" applyAlignment="1" applyProtection="1">
      <alignment horizontal="center"/>
    </xf>
    <xf numFmtId="171" fontId="6" fillId="0" borderId="5" xfId="1" applyNumberFormat="1" applyFont="1" applyFill="1" applyBorder="1" applyAlignment="1" applyProtection="1">
      <alignment horizontal="center"/>
    </xf>
    <xf numFmtId="171" fontId="7" fillId="0" borderId="10" xfId="1" applyNumberFormat="1" applyFont="1" applyFill="1" applyBorder="1" applyAlignment="1" applyProtection="1">
      <alignment horizontal="center"/>
    </xf>
    <xf numFmtId="171" fontId="7" fillId="0" borderId="5" xfId="1" applyNumberFormat="1" applyFont="1" applyFill="1" applyBorder="1" applyAlignment="1" applyProtection="1">
      <alignment horizontal="center"/>
    </xf>
    <xf numFmtId="171" fontId="6" fillId="0" borderId="0" xfId="1" applyNumberFormat="1" applyFont="1" applyFill="1"/>
    <xf numFmtId="177" fontId="21" fillId="0" borderId="5" xfId="0" applyNumberFormat="1" applyFont="1" applyBorder="1" applyAlignment="1">
      <alignment horizontal="center"/>
    </xf>
    <xf numFmtId="177" fontId="21" fillId="0" borderId="3" xfId="0" applyNumberFormat="1" applyFont="1" applyBorder="1" applyAlignment="1">
      <alignment horizontal="center"/>
    </xf>
    <xf numFmtId="177" fontId="21" fillId="0" borderId="10" xfId="0" applyNumberFormat="1" applyFont="1" applyBorder="1" applyAlignment="1">
      <alignment horizontal="center"/>
    </xf>
    <xf numFmtId="176" fontId="21" fillId="0" borderId="10" xfId="0" applyNumberFormat="1" applyFont="1" applyBorder="1" applyAlignment="1">
      <alignment horizontal="center"/>
    </xf>
    <xf numFmtId="0" fontId="21" fillId="0" borderId="67" xfId="0" applyFont="1" applyBorder="1" applyAlignment="1">
      <alignment horizontal="center"/>
    </xf>
    <xf numFmtId="0" fontId="21" fillId="0" borderId="20" xfId="0" applyFont="1" applyBorder="1" applyAlignment="1">
      <alignment horizontal="center"/>
    </xf>
    <xf numFmtId="0" fontId="23" fillId="0" borderId="0" xfId="3" applyFont="1" applyFill="1" applyBorder="1"/>
    <xf numFmtId="0" fontId="16" fillId="8" borderId="3" xfId="0" applyFont="1" applyFill="1" applyBorder="1" applyAlignment="1">
      <alignment horizontal="centerContinuous" wrapText="1"/>
    </xf>
    <xf numFmtId="0" fontId="20" fillId="8" borderId="3" xfId="0" applyFont="1" applyFill="1" applyBorder="1" applyAlignment="1">
      <alignment horizontal="centerContinuous" wrapText="1"/>
    </xf>
    <xf numFmtId="0" fontId="21" fillId="3" borderId="37" xfId="0" applyFont="1" applyFill="1" applyBorder="1" applyAlignment="1">
      <alignment horizontal="left" indent="1"/>
    </xf>
    <xf numFmtId="172" fontId="21" fillId="9" borderId="15" xfId="1" applyNumberFormat="1" applyFont="1" applyFill="1" applyBorder="1"/>
    <xf numFmtId="172" fontId="21" fillId="9" borderId="0" xfId="1" applyNumberFormat="1" applyFont="1" applyFill="1" applyBorder="1"/>
    <xf numFmtId="172" fontId="21" fillId="9" borderId="16" xfId="1" applyNumberFormat="1" applyFont="1" applyFill="1" applyBorder="1"/>
    <xf numFmtId="171" fontId="21" fillId="0" borderId="15" xfId="1" applyNumberFormat="1" applyFont="1" applyFill="1" applyBorder="1"/>
    <xf numFmtId="171" fontId="21" fillId="0" borderId="0" xfId="1" applyNumberFormat="1" applyFont="1" applyFill="1" applyBorder="1"/>
    <xf numFmtId="171" fontId="21" fillId="0" borderId="16" xfId="1" applyNumberFormat="1" applyFont="1" applyFill="1" applyBorder="1"/>
    <xf numFmtId="171" fontId="21" fillId="0" borderId="16" xfId="1" applyNumberFormat="1" applyFont="1" applyBorder="1"/>
    <xf numFmtId="0" fontId="21" fillId="3" borderId="37" xfId="0" applyFont="1" applyFill="1" applyBorder="1" applyAlignment="1">
      <alignment horizontal="left" indent="2"/>
    </xf>
    <xf numFmtId="0" fontId="21" fillId="0" borderId="15" xfId="0" applyFont="1" applyBorder="1"/>
    <xf numFmtId="0" fontId="21" fillId="0" borderId="16" xfId="0" applyFont="1" applyBorder="1"/>
    <xf numFmtId="172" fontId="21" fillId="9" borderId="15" xfId="1" applyNumberFormat="1" applyFont="1" applyFill="1" applyBorder="1" applyAlignment="1">
      <alignment vertical="top"/>
    </xf>
    <xf numFmtId="172" fontId="21" fillId="9" borderId="0" xfId="1" applyNumberFormat="1" applyFont="1" applyFill="1" applyBorder="1" applyAlignment="1">
      <alignment vertical="top"/>
    </xf>
    <xf numFmtId="172" fontId="21" fillId="9" borderId="16" xfId="1" applyNumberFormat="1" applyFont="1" applyFill="1" applyBorder="1" applyAlignment="1">
      <alignment vertical="top"/>
    </xf>
    <xf numFmtId="171" fontId="21" fillId="0" borderId="15" xfId="1" applyNumberFormat="1" applyFont="1" applyBorder="1" applyAlignment="1">
      <alignment vertical="top"/>
    </xf>
    <xf numFmtId="171" fontId="21" fillId="0" borderId="0" xfId="1" applyNumberFormat="1" applyFont="1" applyBorder="1" applyAlignment="1">
      <alignment vertical="top"/>
    </xf>
    <xf numFmtId="171" fontId="21" fillId="0" borderId="16" xfId="1" applyNumberFormat="1" applyFont="1" applyBorder="1" applyAlignment="1">
      <alignment vertical="top"/>
    </xf>
    <xf numFmtId="172" fontId="21" fillId="0" borderId="77" xfId="1" applyNumberFormat="1" applyFont="1" applyFill="1" applyBorder="1" applyAlignment="1">
      <alignment vertical="top"/>
    </xf>
    <xf numFmtId="172" fontId="21" fillId="0" borderId="78" xfId="1" applyNumberFormat="1" applyFont="1" applyFill="1" applyBorder="1" applyAlignment="1">
      <alignment vertical="top"/>
    </xf>
    <xf numFmtId="172" fontId="21" fillId="0" borderId="79" xfId="1" applyNumberFormat="1" applyFont="1" applyFill="1" applyBorder="1" applyAlignment="1">
      <alignment vertical="top"/>
    </xf>
    <xf numFmtId="171" fontId="21" fillId="0" borderId="77" xfId="1" applyNumberFormat="1" applyFont="1" applyBorder="1"/>
    <xf numFmtId="171" fontId="21" fillId="0" borderId="78" xfId="1" applyNumberFormat="1" applyFont="1" applyBorder="1"/>
    <xf numFmtId="171" fontId="21" fillId="0" borderId="79" xfId="1" applyNumberFormat="1" applyFont="1" applyBorder="1"/>
    <xf numFmtId="0" fontId="21" fillId="0" borderId="38" xfId="0" applyFont="1" applyBorder="1" applyAlignment="1">
      <alignment horizontal="left" indent="1"/>
    </xf>
    <xf numFmtId="172" fontId="21" fillId="9" borderId="34" xfId="1" applyNumberFormat="1" applyFont="1" applyFill="1" applyBorder="1"/>
    <xf numFmtId="172" fontId="21" fillId="9" borderId="33" xfId="1" applyNumberFormat="1" applyFont="1" applyFill="1" applyBorder="1"/>
    <xf numFmtId="172" fontId="21" fillId="9" borderId="35" xfId="1" applyNumberFormat="1" applyFont="1" applyFill="1" applyBorder="1"/>
    <xf numFmtId="171" fontId="21" fillId="0" borderId="34" xfId="1" applyNumberFormat="1" applyFont="1" applyFill="1" applyBorder="1"/>
    <xf numFmtId="171" fontId="21" fillId="0" borderId="33" xfId="1" applyNumberFormat="1" applyFont="1" applyFill="1" applyBorder="1"/>
    <xf numFmtId="171" fontId="21" fillId="0" borderId="35" xfId="1" applyNumberFormat="1" applyFont="1" applyFill="1" applyBorder="1"/>
    <xf numFmtId="171" fontId="21" fillId="0" borderId="35" xfId="1" applyNumberFormat="1" applyFont="1" applyBorder="1"/>
    <xf numFmtId="0" fontId="16" fillId="8" borderId="3" xfId="0" applyFont="1" applyFill="1" applyBorder="1" applyAlignment="1">
      <alignment horizontal="left" wrapText="1"/>
    </xf>
    <xf numFmtId="0" fontId="16" fillId="8" borderId="3" xfId="0" applyFont="1" applyFill="1" applyBorder="1" applyAlignment="1">
      <alignment horizontal="center" wrapText="1"/>
    </xf>
    <xf numFmtId="0" fontId="42" fillId="0" borderId="12" xfId="0" applyFont="1" applyBorder="1" applyAlignment="1">
      <alignment horizontal="center" wrapText="1"/>
    </xf>
    <xf numFmtId="0" fontId="42" fillId="0" borderId="14" xfId="0" applyFont="1" applyBorder="1" applyAlignment="1">
      <alignment horizontal="center" wrapText="1"/>
    </xf>
    <xf numFmtId="0" fontId="42" fillId="0" borderId="13" xfId="0" applyFont="1" applyBorder="1" applyAlignment="1">
      <alignment horizontal="center" wrapText="1"/>
    </xf>
    <xf numFmtId="0" fontId="42" fillId="0" borderId="15" xfId="0" applyFont="1" applyBorder="1" applyAlignment="1">
      <alignment horizontal="center" wrapText="1"/>
    </xf>
    <xf numFmtId="0" fontId="42" fillId="0" borderId="16" xfId="0" applyFont="1" applyBorder="1" applyAlignment="1">
      <alignment horizontal="center" wrapText="1"/>
    </xf>
    <xf numFmtId="0" fontId="42" fillId="0" borderId="0" xfId="0" applyFont="1" applyAlignment="1">
      <alignment horizontal="center" wrapText="1"/>
    </xf>
    <xf numFmtId="0" fontId="18" fillId="0" borderId="15" xfId="0" applyFont="1" applyBorder="1"/>
    <xf numFmtId="0" fontId="21" fillId="0" borderId="15" xfId="0" applyFont="1" applyBorder="1" applyAlignment="1">
      <alignment horizontal="center"/>
    </xf>
    <xf numFmtId="0" fontId="21" fillId="0" borderId="16" xfId="0" applyFont="1" applyBorder="1" applyAlignment="1">
      <alignment horizontal="center"/>
    </xf>
    <xf numFmtId="171" fontId="21" fillId="9" borderId="15" xfId="1" applyNumberFormat="1" applyFont="1" applyFill="1" applyBorder="1"/>
    <xf numFmtId="171" fontId="21" fillId="9" borderId="0" xfId="1" applyNumberFormat="1" applyFont="1" applyFill="1" applyBorder="1"/>
    <xf numFmtId="171" fontId="21" fillId="9" borderId="34" xfId="1" applyNumberFormat="1" applyFont="1" applyFill="1" applyBorder="1"/>
    <xf numFmtId="171" fontId="21" fillId="9" borderId="33" xfId="1" applyNumberFormat="1" applyFont="1" applyFill="1" applyBorder="1"/>
    <xf numFmtId="0" fontId="18" fillId="0" borderId="37" xfId="0" applyFont="1" applyBorder="1"/>
    <xf numFmtId="0" fontId="43" fillId="3" borderId="37" xfId="0" applyFont="1" applyFill="1" applyBorder="1" applyAlignment="1">
      <alignment horizontal="left" indent="2"/>
    </xf>
    <xf numFmtId="0" fontId="43" fillId="3" borderId="38" xfId="0" applyFont="1" applyFill="1" applyBorder="1" applyAlignment="1">
      <alignment horizontal="left" indent="2"/>
    </xf>
    <xf numFmtId="0" fontId="20" fillId="8" borderId="3" xfId="0" applyFont="1" applyFill="1" applyBorder="1" applyAlignment="1">
      <alignment horizontal="center" vertical="center" wrapText="1"/>
    </xf>
    <xf numFmtId="0" fontId="20" fillId="8" borderId="24" xfId="0" applyFont="1" applyFill="1" applyBorder="1" applyAlignment="1">
      <alignment horizontal="center" vertical="center" wrapText="1"/>
    </xf>
    <xf numFmtId="179" fontId="21" fillId="0" borderId="0" xfId="1" applyNumberFormat="1" applyFont="1"/>
    <xf numFmtId="3" fontId="21" fillId="0" borderId="0" xfId="0" applyNumberFormat="1" applyFont="1"/>
    <xf numFmtId="174" fontId="21" fillId="0" borderId="0" xfId="0" applyNumberFormat="1" applyFont="1"/>
    <xf numFmtId="0" fontId="21" fillId="7" borderId="0" xfId="0" applyFont="1" applyFill="1"/>
    <xf numFmtId="174" fontId="21" fillId="7" borderId="0" xfId="0" applyNumberFormat="1" applyFont="1" applyFill="1"/>
    <xf numFmtId="0" fontId="0" fillId="0" borderId="0" xfId="0" quotePrefix="1"/>
    <xf numFmtId="10" fontId="21" fillId="7" borderId="0" xfId="2" applyNumberFormat="1" applyFont="1" applyFill="1"/>
    <xf numFmtId="176" fontId="21" fillId="6" borderId="3" xfId="0" applyNumberFormat="1" applyFont="1" applyFill="1" applyBorder="1"/>
    <xf numFmtId="176" fontId="21" fillId="6" borderId="10" xfId="0" applyNumberFormat="1" applyFont="1" applyFill="1" applyBorder="1"/>
    <xf numFmtId="0" fontId="30" fillId="21" borderId="5" xfId="0" applyFont="1" applyFill="1" applyBorder="1" applyAlignment="1">
      <alignment horizontal="center" vertical="center" wrapText="1"/>
    </xf>
    <xf numFmtId="0" fontId="20" fillId="8" borderId="3" xfId="0" applyFont="1" applyFill="1" applyBorder="1" applyAlignment="1">
      <alignment horizontal="center" wrapText="1"/>
    </xf>
    <xf numFmtId="165" fontId="24" fillId="9" borderId="36" xfId="1" applyNumberFormat="1" applyFont="1" applyFill="1" applyBorder="1"/>
    <xf numFmtId="6" fontId="24" fillId="9" borderId="12" xfId="0" applyNumberFormat="1" applyFont="1" applyFill="1" applyBorder="1"/>
    <xf numFmtId="6" fontId="24" fillId="9" borderId="13" xfId="0" applyNumberFormat="1" applyFont="1" applyFill="1" applyBorder="1"/>
    <xf numFmtId="6" fontId="21" fillId="0" borderId="14" xfId="0" applyNumberFormat="1" applyFont="1" applyBorder="1"/>
    <xf numFmtId="6" fontId="24" fillId="9" borderId="14" xfId="0" applyNumberFormat="1" applyFont="1" applyFill="1" applyBorder="1"/>
    <xf numFmtId="6" fontId="21" fillId="0" borderId="0" xfId="0" applyNumberFormat="1" applyFont="1"/>
    <xf numFmtId="6" fontId="21" fillId="0" borderId="36" xfId="0" applyNumberFormat="1" applyFont="1" applyBorder="1"/>
    <xf numFmtId="0" fontId="21" fillId="0" borderId="30" xfId="0" applyFont="1" applyBorder="1" applyAlignment="1">
      <alignment horizontal="center"/>
    </xf>
    <xf numFmtId="165" fontId="24" fillId="9" borderId="56" xfId="1" applyNumberFormat="1" applyFont="1" applyFill="1" applyBorder="1"/>
    <xf numFmtId="6" fontId="24" fillId="9" borderId="54" xfId="0" applyNumberFormat="1" applyFont="1" applyFill="1" applyBorder="1"/>
    <xf numFmtId="6" fontId="24" fillId="9" borderId="30" xfId="0" applyNumberFormat="1" applyFont="1" applyFill="1" applyBorder="1"/>
    <xf numFmtId="6" fontId="21" fillId="0" borderId="55" xfId="0" applyNumberFormat="1" applyFont="1" applyBorder="1"/>
    <xf numFmtId="6" fontId="24" fillId="9" borderId="55" xfId="0" applyNumberFormat="1" applyFont="1" applyFill="1" applyBorder="1"/>
    <xf numFmtId="6" fontId="21" fillId="0" borderId="30" xfId="0" applyNumberFormat="1" applyFont="1" applyBorder="1"/>
    <xf numFmtId="6" fontId="21" fillId="0" borderId="56" xfId="0" applyNumberFormat="1" applyFont="1" applyBorder="1"/>
    <xf numFmtId="165" fontId="24" fillId="9" borderId="37" xfId="1" applyNumberFormat="1" applyFont="1" applyFill="1" applyBorder="1"/>
    <xf numFmtId="6" fontId="24" fillId="9" borderId="15" xfId="0" applyNumberFormat="1" applyFont="1" applyFill="1" applyBorder="1"/>
    <xf numFmtId="6" fontId="24" fillId="9" borderId="0" xfId="0" applyNumberFormat="1" applyFont="1" applyFill="1"/>
    <xf numFmtId="6" fontId="21" fillId="0" borderId="16" xfId="0" applyNumberFormat="1" applyFont="1" applyBorder="1"/>
    <xf numFmtId="6" fontId="24" fillId="9" borderId="16" xfId="0" applyNumberFormat="1" applyFont="1" applyFill="1" applyBorder="1"/>
    <xf numFmtId="6" fontId="21" fillId="0" borderId="37" xfId="0" applyNumberFormat="1" applyFont="1" applyBorder="1"/>
    <xf numFmtId="0" fontId="21" fillId="0" borderId="11" xfId="0" applyFont="1" applyBorder="1" applyAlignment="1">
      <alignment horizontal="center"/>
    </xf>
    <xf numFmtId="165" fontId="24" fillId="9" borderId="57" xfId="1" applyNumberFormat="1" applyFont="1" applyFill="1" applyBorder="1"/>
    <xf numFmtId="6" fontId="24" fillId="9" borderId="17" xfId="0" applyNumberFormat="1" applyFont="1" applyFill="1" applyBorder="1"/>
    <xf numFmtId="6" fontId="24" fillId="9" borderId="11" xfId="0" applyNumberFormat="1" applyFont="1" applyFill="1" applyBorder="1"/>
    <xf numFmtId="6" fontId="21" fillId="0" borderId="18" xfId="0" applyNumberFormat="1" applyFont="1" applyBorder="1"/>
    <xf numFmtId="6" fontId="24" fillId="9" borderId="18" xfId="0" applyNumberFormat="1" applyFont="1" applyFill="1" applyBorder="1"/>
    <xf numFmtId="6" fontId="21" fillId="0" borderId="11" xfId="0" applyNumberFormat="1" applyFont="1" applyBorder="1"/>
    <xf numFmtId="6" fontId="21" fillId="0" borderId="57" xfId="0" applyNumberFormat="1" applyFont="1" applyBorder="1"/>
    <xf numFmtId="165" fontId="21" fillId="0" borderId="37" xfId="0" applyNumberFormat="1" applyFont="1" applyBorder="1"/>
    <xf numFmtId="6" fontId="21" fillId="0" borderId="15" xfId="0" applyNumberFormat="1" applyFont="1" applyBorder="1"/>
    <xf numFmtId="6" fontId="21" fillId="9" borderId="0" xfId="0" applyNumberFormat="1" applyFont="1" applyFill="1"/>
    <xf numFmtId="165" fontId="21" fillId="6" borderId="36" xfId="1" applyNumberFormat="1" applyFont="1" applyFill="1" applyBorder="1"/>
    <xf numFmtId="8" fontId="21" fillId="0" borderId="12" xfId="0" applyNumberFormat="1" applyFont="1" applyBorder="1" applyAlignment="1">
      <alignment horizontal="right"/>
    </xf>
    <xf numFmtId="8" fontId="21" fillId="0" borderId="13" xfId="0" applyNumberFormat="1" applyFont="1" applyBorder="1" applyAlignment="1">
      <alignment horizontal="right"/>
    </xf>
    <xf numFmtId="8" fontId="21" fillId="0" borderId="14" xfId="0" applyNumberFormat="1" applyFont="1" applyBorder="1" applyAlignment="1">
      <alignment horizontal="right"/>
    </xf>
    <xf numFmtId="8" fontId="21" fillId="0" borderId="0" xfId="0" applyNumberFormat="1" applyFont="1"/>
    <xf numFmtId="8" fontId="21" fillId="0" borderId="36" xfId="0" applyNumberFormat="1" applyFont="1" applyBorder="1" applyAlignment="1">
      <alignment horizontal="right"/>
    </xf>
    <xf numFmtId="165" fontId="21" fillId="6" borderId="56" xfId="1" applyNumberFormat="1" applyFont="1" applyFill="1" applyBorder="1"/>
    <xf numFmtId="8" fontId="21" fillId="0" borderId="54" xfId="0" applyNumberFormat="1" applyFont="1" applyBorder="1" applyAlignment="1">
      <alignment horizontal="right"/>
    </xf>
    <xf numFmtId="8" fontId="21" fillId="0" borderId="30" xfId="0" applyNumberFormat="1" applyFont="1" applyBorder="1" applyAlignment="1">
      <alignment horizontal="right"/>
    </xf>
    <xf numFmtId="8" fontId="21" fillId="0" borderId="55" xfId="0" applyNumberFormat="1" applyFont="1" applyBorder="1" applyAlignment="1">
      <alignment horizontal="right"/>
    </xf>
    <xf numFmtId="8" fontId="21" fillId="0" borderId="56" xfId="0" applyNumberFormat="1" applyFont="1" applyBorder="1" applyAlignment="1">
      <alignment horizontal="right"/>
    </xf>
    <xf numFmtId="165" fontId="21" fillId="6" borderId="37" xfId="1" applyNumberFormat="1" applyFont="1" applyFill="1" applyBorder="1"/>
    <xf numFmtId="8" fontId="21" fillId="0" borderId="15" xfId="0" applyNumberFormat="1" applyFont="1" applyBorder="1" applyAlignment="1">
      <alignment horizontal="right"/>
    </xf>
    <xf numFmtId="8" fontId="21" fillId="0" borderId="0" xfId="0" applyNumberFormat="1" applyFont="1" applyAlignment="1">
      <alignment horizontal="right"/>
    </xf>
    <xf numFmtId="8" fontId="21" fillId="0" borderId="16" xfId="0" applyNumberFormat="1" applyFont="1" applyBorder="1" applyAlignment="1">
      <alignment horizontal="right"/>
    </xf>
    <xf numFmtId="8" fontId="21" fillId="0" borderId="37" xfId="0" applyNumberFormat="1" applyFont="1" applyBorder="1" applyAlignment="1">
      <alignment horizontal="right"/>
    </xf>
    <xf numFmtId="165" fontId="21" fillId="6" borderId="57" xfId="1" applyNumberFormat="1" applyFont="1" applyFill="1" applyBorder="1"/>
    <xf numFmtId="8" fontId="21" fillId="0" borderId="17" xfId="0" applyNumberFormat="1" applyFont="1" applyBorder="1" applyAlignment="1">
      <alignment horizontal="right"/>
    </xf>
    <xf numFmtId="8" fontId="21" fillId="0" borderId="11" xfId="0" applyNumberFormat="1" applyFont="1" applyBorder="1" applyAlignment="1">
      <alignment horizontal="right"/>
    </xf>
    <xf numFmtId="8" fontId="21" fillId="0" borderId="18" xfId="0" applyNumberFormat="1" applyFont="1" applyBorder="1" applyAlignment="1">
      <alignment horizontal="right"/>
    </xf>
    <xf numFmtId="8" fontId="21" fillId="0" borderId="57" xfId="0" applyNumberFormat="1" applyFont="1" applyBorder="1" applyAlignment="1">
      <alignment horizontal="right"/>
    </xf>
    <xf numFmtId="165" fontId="21" fillId="6" borderId="37" xfId="0" applyNumberFormat="1" applyFont="1" applyFill="1" applyBorder="1"/>
    <xf numFmtId="0" fontId="21" fillId="20" borderId="80" xfId="0" applyFont="1" applyFill="1" applyBorder="1"/>
    <xf numFmtId="178" fontId="21" fillId="20" borderId="81" xfId="1" applyNumberFormat="1" applyFont="1" applyFill="1" applyBorder="1"/>
    <xf numFmtId="178" fontId="21" fillId="20" borderId="81" xfId="0" applyNumberFormat="1" applyFont="1" applyFill="1" applyBorder="1"/>
    <xf numFmtId="178" fontId="21" fillId="20" borderId="82" xfId="0" applyNumberFormat="1" applyFont="1" applyFill="1" applyBorder="1"/>
    <xf numFmtId="178" fontId="21" fillId="20" borderId="0" xfId="0" applyNumberFormat="1" applyFont="1" applyFill="1"/>
    <xf numFmtId="0" fontId="16" fillId="8" borderId="10" xfId="0" applyFont="1" applyFill="1" applyBorder="1" applyAlignment="1">
      <alignment horizontal="centerContinuous" vertical="center" wrapText="1"/>
    </xf>
    <xf numFmtId="0" fontId="21" fillId="20" borderId="83" xfId="0" applyFont="1" applyFill="1" applyBorder="1"/>
    <xf numFmtId="178" fontId="21" fillId="20" borderId="0" xfId="1" applyNumberFormat="1" applyFont="1" applyFill="1" applyBorder="1"/>
    <xf numFmtId="178" fontId="21" fillId="20" borderId="84" xfId="0" applyNumberFormat="1" applyFont="1" applyFill="1" applyBorder="1"/>
    <xf numFmtId="0" fontId="16" fillId="23" borderId="10" xfId="0" applyFont="1" applyFill="1" applyBorder="1" applyAlignment="1">
      <alignment horizontal="centerContinuous" vertical="center" wrapText="1"/>
    </xf>
    <xf numFmtId="0" fontId="16" fillId="23" borderId="3" xfId="0" applyFont="1" applyFill="1" applyBorder="1" applyAlignment="1">
      <alignment horizontal="centerContinuous" vertical="center" wrapText="1"/>
    </xf>
    <xf numFmtId="0" fontId="16" fillId="23" borderId="3" xfId="0" applyFont="1" applyFill="1" applyBorder="1" applyAlignment="1">
      <alignment horizontal="center" vertical="center" wrapText="1"/>
    </xf>
    <xf numFmtId="0" fontId="16" fillId="23" borderId="5" xfId="0" applyFont="1" applyFill="1" applyBorder="1" applyAlignment="1">
      <alignment horizontal="center" vertical="center" wrapText="1"/>
    </xf>
    <xf numFmtId="166" fontId="4" fillId="9" borderId="24" xfId="2" applyNumberFormat="1" applyFont="1" applyFill="1" applyBorder="1" applyAlignment="1" applyProtection="1">
      <alignment horizontal="center"/>
      <protection locked="0"/>
    </xf>
    <xf numFmtId="0" fontId="21" fillId="20" borderId="0" xfId="0" applyFont="1" applyFill="1" applyAlignment="1">
      <alignment horizontal="left" indent="1"/>
    </xf>
    <xf numFmtId="0" fontId="21" fillId="20" borderId="81" xfId="0" applyFont="1" applyFill="1" applyBorder="1" applyAlignment="1">
      <alignment horizontal="left" indent="1"/>
    </xf>
    <xf numFmtId="172" fontId="21" fillId="22" borderId="3" xfId="1" applyNumberFormat="1" applyFont="1" applyFill="1" applyBorder="1" applyAlignment="1">
      <alignment horizontal="center"/>
    </xf>
    <xf numFmtId="175" fontId="21" fillId="19" borderId="3" xfId="0" applyNumberFormat="1" applyFont="1" applyFill="1" applyBorder="1"/>
    <xf numFmtId="0" fontId="44" fillId="0" borderId="0" xfId="3" applyFont="1" applyFill="1"/>
    <xf numFmtId="0" fontId="21" fillId="16" borderId="80" xfId="0" applyFont="1" applyFill="1" applyBorder="1"/>
    <xf numFmtId="0" fontId="21" fillId="16" borderId="81" xfId="0" applyFont="1" applyFill="1" applyBorder="1" applyAlignment="1">
      <alignment horizontal="left" indent="1"/>
    </xf>
    <xf numFmtId="178" fontId="21" fillId="16" borderId="81" xfId="1" applyNumberFormat="1" applyFont="1" applyFill="1" applyBorder="1"/>
    <xf numFmtId="178" fontId="21" fillId="16" borderId="81" xfId="0" applyNumberFormat="1" applyFont="1" applyFill="1" applyBorder="1"/>
    <xf numFmtId="178" fontId="21" fillId="16" borderId="82" xfId="0" applyNumberFormat="1" applyFont="1" applyFill="1" applyBorder="1"/>
    <xf numFmtId="0" fontId="21" fillId="16" borderId="0" xfId="0" applyFont="1" applyFill="1"/>
    <xf numFmtId="179" fontId="21" fillId="16" borderId="0" xfId="1" applyNumberFormat="1" applyFont="1" applyFill="1"/>
    <xf numFmtId="3" fontId="21" fillId="16" borderId="0" xfId="0" applyNumberFormat="1" applyFont="1" applyFill="1"/>
    <xf numFmtId="174" fontId="21" fillId="16" borderId="0" xfId="0" applyNumberFormat="1" applyFont="1" applyFill="1"/>
    <xf numFmtId="0" fontId="21" fillId="3" borderId="38" xfId="0" applyFont="1" applyFill="1" applyBorder="1" applyAlignment="1">
      <alignment horizontal="left" indent="1"/>
    </xf>
    <xf numFmtId="0" fontId="16" fillId="8" borderId="5" xfId="0" applyFont="1" applyFill="1" applyBorder="1" applyAlignment="1">
      <alignment horizontal="centerContinuous" wrapText="1"/>
    </xf>
    <xf numFmtId="0" fontId="38" fillId="13" borderId="0" xfId="3" applyFont="1" applyFill="1"/>
    <xf numFmtId="10" fontId="21" fillId="0" borderId="42" xfId="2" applyNumberFormat="1" applyFont="1" applyFill="1" applyBorder="1" applyAlignment="1">
      <alignment horizontal="right"/>
    </xf>
    <xf numFmtId="0" fontId="21" fillId="3" borderId="37" xfId="0" applyFont="1" applyFill="1" applyBorder="1" applyAlignment="1">
      <alignment horizontal="left" indent="3"/>
    </xf>
    <xf numFmtId="0" fontId="21" fillId="3" borderId="37" xfId="0" applyFont="1" applyFill="1" applyBorder="1" applyAlignment="1">
      <alignment horizontal="left" vertical="top" wrapText="1" indent="3"/>
    </xf>
    <xf numFmtId="172" fontId="21" fillId="9" borderId="86" xfId="1" applyNumberFormat="1" applyFont="1" applyFill="1" applyBorder="1"/>
    <xf numFmtId="172" fontId="21" fillId="9" borderId="87" xfId="1" applyNumberFormat="1" applyFont="1" applyFill="1" applyBorder="1"/>
    <xf numFmtId="172" fontId="21" fillId="9" borderId="88" xfId="1" applyNumberFormat="1" applyFont="1" applyFill="1" applyBorder="1"/>
    <xf numFmtId="171" fontId="21" fillId="0" borderId="86" xfId="1" applyNumberFormat="1" applyFont="1" applyFill="1" applyBorder="1"/>
    <xf numFmtId="171" fontId="21" fillId="0" borderId="87" xfId="1" applyNumberFormat="1" applyFont="1" applyFill="1" applyBorder="1"/>
    <xf numFmtId="171" fontId="21" fillId="0" borderId="88" xfId="1" applyNumberFormat="1" applyFont="1" applyFill="1" applyBorder="1"/>
    <xf numFmtId="171" fontId="21" fillId="0" borderId="88" xfId="1" applyNumberFormat="1" applyFont="1" applyBorder="1"/>
    <xf numFmtId="0" fontId="21" fillId="3" borderId="76" xfId="0" applyFont="1" applyFill="1" applyBorder="1" applyAlignment="1">
      <alignment horizontal="left" vertical="top" indent="3"/>
    </xf>
    <xf numFmtId="0" fontId="18" fillId="3" borderId="85" xfId="0" applyFont="1" applyFill="1" applyBorder="1" applyAlignment="1">
      <alignment horizontal="left" vertical="top" indent="1"/>
    </xf>
    <xf numFmtId="0" fontId="21" fillId="0" borderId="86" xfId="0" applyFont="1" applyBorder="1"/>
    <xf numFmtId="0" fontId="21" fillId="0" borderId="87" xfId="0" applyFont="1" applyBorder="1"/>
    <xf numFmtId="0" fontId="21" fillId="0" borderId="88" xfId="0" applyFont="1" applyBorder="1"/>
    <xf numFmtId="0" fontId="43" fillId="3" borderId="85" xfId="0" applyFont="1" applyFill="1" applyBorder="1" applyAlignment="1">
      <alignment horizontal="left" indent="2"/>
    </xf>
    <xf numFmtId="171" fontId="21" fillId="9" borderId="86" xfId="1" applyNumberFormat="1" applyFont="1" applyFill="1" applyBorder="1"/>
    <xf numFmtId="171" fontId="21" fillId="9" borderId="87" xfId="1" applyNumberFormat="1" applyFont="1" applyFill="1" applyBorder="1"/>
    <xf numFmtId="0" fontId="21" fillId="3" borderId="85" xfId="0" applyFont="1" applyFill="1" applyBorder="1" applyAlignment="1">
      <alignment horizontal="left" indent="2"/>
    </xf>
    <xf numFmtId="0" fontId="21" fillId="3" borderId="38" xfId="0" applyFont="1" applyFill="1" applyBorder="1" applyAlignment="1">
      <alignment horizontal="left" indent="2"/>
    </xf>
    <xf numFmtId="178" fontId="21" fillId="0" borderId="0" xfId="0" applyNumberFormat="1" applyFont="1"/>
    <xf numFmtId="178" fontId="21" fillId="7" borderId="0" xfId="0" applyNumberFormat="1" applyFont="1" applyFill="1"/>
    <xf numFmtId="0" fontId="24" fillId="10" borderId="3" xfId="7" applyFont="1" applyBorder="1" applyAlignment="1">
      <alignment horizontal="left" indent="1"/>
    </xf>
    <xf numFmtId="0" fontId="21" fillId="9" borderId="0" xfId="0" applyFont="1" applyFill="1" applyAlignment="1">
      <alignment horizontal="left" vertical="top" wrapText="1"/>
    </xf>
    <xf numFmtId="0" fontId="0" fillId="0" borderId="0" xfId="0" applyAlignment="1">
      <alignment wrapText="1"/>
    </xf>
    <xf numFmtId="49" fontId="4" fillId="9" borderId="3" xfId="5" applyNumberFormat="1" applyFill="1" applyBorder="1" applyAlignment="1">
      <alignment horizontal="left" vertical="top" wrapText="1"/>
    </xf>
    <xf numFmtId="0" fontId="32" fillId="12" borderId="3" xfId="5" applyFont="1" applyFill="1" applyBorder="1" applyAlignment="1">
      <alignment horizontal="left" indent="1"/>
    </xf>
    <xf numFmtId="0" fontId="32" fillId="9" borderId="3" xfId="5" applyFont="1" applyFill="1" applyBorder="1" applyAlignment="1">
      <alignment horizontal="left" indent="1"/>
    </xf>
    <xf numFmtId="0" fontId="18" fillId="11" borderId="3" xfId="0" applyFont="1" applyFill="1" applyBorder="1" applyAlignment="1">
      <alignment horizontal="center" vertical="center"/>
    </xf>
    <xf numFmtId="0" fontId="32" fillId="10" borderId="53" xfId="7" applyFont="1" applyAlignment="1">
      <alignment horizontal="left" indent="1"/>
    </xf>
    <xf numFmtId="0" fontId="0" fillId="0" borderId="3" xfId="0" applyBorder="1" applyAlignment="1">
      <alignment horizontal="center" wrapText="1"/>
    </xf>
    <xf numFmtId="0" fontId="0" fillId="0" borderId="3" xfId="0" applyBorder="1" applyAlignment="1">
      <alignment wrapText="1"/>
    </xf>
    <xf numFmtId="0" fontId="0" fillId="0" borderId="3" xfId="0" applyBorder="1" applyAlignment="1">
      <alignment horizontal="center" vertical="top" wrapText="1"/>
    </xf>
    <xf numFmtId="0" fontId="0" fillId="0" borderId="5" xfId="0" applyBorder="1" applyAlignment="1">
      <alignment horizontal="center" vertical="top" wrapText="1"/>
    </xf>
    <xf numFmtId="0" fontId="33" fillId="10" borderId="53" xfId="7" applyFont="1" applyAlignment="1">
      <alignment horizontal="left" indent="1"/>
    </xf>
    <xf numFmtId="0" fontId="34" fillId="10" borderId="53" xfId="7" applyFont="1" applyAlignment="1">
      <alignment horizontal="left" indent="2"/>
    </xf>
    <xf numFmtId="0" fontId="4" fillId="10" borderId="3" xfId="7" applyFont="1" applyBorder="1" applyAlignment="1">
      <alignment horizontal="left" indent="1"/>
    </xf>
    <xf numFmtId="0" fontId="0" fillId="0" borderId="3" xfId="0" applyBorder="1" applyAlignment="1">
      <alignment horizontal="left" indent="1"/>
    </xf>
    <xf numFmtId="0" fontId="16" fillId="8" borderId="10" xfId="0" applyFont="1" applyFill="1" applyBorder="1" applyAlignment="1">
      <alignment horizontal="center" wrapText="1"/>
    </xf>
    <xf numFmtId="0" fontId="18" fillId="0" borderId="5" xfId="0" applyFont="1" applyBorder="1" applyAlignment="1">
      <alignment horizontal="center" wrapText="1"/>
    </xf>
    <xf numFmtId="0" fontId="24" fillId="10" borderId="68" xfId="7" applyFont="1" applyBorder="1" applyAlignment="1">
      <alignment horizontal="left" indent="1"/>
    </xf>
    <xf numFmtId="0" fontId="24" fillId="10" borderId="69" xfId="7" applyFont="1" applyBorder="1" applyAlignment="1">
      <alignment horizontal="left" indent="1"/>
    </xf>
    <xf numFmtId="0" fontId="21" fillId="0" borderId="69" xfId="0" applyFont="1" applyBorder="1" applyAlignment="1">
      <alignment horizontal="left" indent="1"/>
    </xf>
    <xf numFmtId="0" fontId="21" fillId="0" borderId="70" xfId="0" applyFont="1" applyBorder="1" applyAlignment="1">
      <alignment horizontal="left" indent="1"/>
    </xf>
    <xf numFmtId="0" fontId="6" fillId="8" borderId="10" xfId="0" applyFont="1" applyFill="1"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7" fillId="8" borderId="19" xfId="0" applyFont="1" applyFill="1" applyBorder="1" applyAlignment="1">
      <alignment horizontal="center" wrapText="1"/>
    </xf>
    <xf numFmtId="0" fontId="0" fillId="0" borderId="20" xfId="0" applyBorder="1" applyAlignment="1">
      <alignment horizontal="center" wrapText="1"/>
    </xf>
    <xf numFmtId="0" fontId="0" fillId="0" borderId="4" xfId="0" applyBorder="1" applyAlignment="1">
      <alignment horizontal="center" wrapText="1"/>
    </xf>
    <xf numFmtId="0" fontId="0" fillId="0" borderId="21" xfId="0" applyBorder="1" applyAlignment="1">
      <alignment horizontal="center" wrapText="1"/>
    </xf>
  </cellXfs>
  <cellStyles count="8">
    <cellStyle name="Comma" xfId="1" builtinId="3"/>
    <cellStyle name="Heading 1" xfId="4" builtinId="16"/>
    <cellStyle name="Heading 2" xfId="6" builtinId="17"/>
    <cellStyle name="Input" xfId="5" builtinId="20"/>
    <cellStyle name="Normal" xfId="0" builtinId="0"/>
    <cellStyle name="Output" xfId="7" builtinId="21"/>
    <cellStyle name="Percent" xfId="2" builtinId="5"/>
    <cellStyle name="Title" xfId="3" builtinId="15"/>
  </cellStyles>
  <dxfs count="159">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solid">
          <fgColor indexed="64"/>
          <bgColor theme="4" tint="0.79998168889431442"/>
        </patternFill>
      </fill>
    </dxf>
    <dxf>
      <font>
        <strike val="0"/>
        <outline val="0"/>
        <shadow val="0"/>
        <u val="none"/>
        <vertAlign val="baseline"/>
        <sz val="12"/>
        <name val="Calibri"/>
        <family val="2"/>
        <scheme val="minor"/>
      </font>
      <numFmt numFmtId="14" formatCode="0.00%"/>
      <fill>
        <patternFill patternType="solid">
          <fgColor indexed="64"/>
          <bgColor theme="4" tint="0.79998168889431442"/>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strike val="0"/>
        <outline val="0"/>
        <shadow val="0"/>
        <u val="none"/>
        <vertAlign val="baseline"/>
        <sz val="12"/>
        <name val="Calibri"/>
        <family val="2"/>
        <scheme val="minor"/>
      </font>
      <numFmt numFmtId="178" formatCode="#,##0.0000"/>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b val="0"/>
        <i val="0"/>
        <strike val="0"/>
        <condense val="0"/>
        <extend val="0"/>
        <outline val="0"/>
        <shadow val="0"/>
        <u val="none"/>
        <vertAlign val="baseline"/>
        <sz val="12"/>
        <color theme="1"/>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none"/>
      </font>
    </dxf>
    <dxf>
      <border>
        <bottom style="thin">
          <color rgb="FF000000"/>
        </bottom>
      </border>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174" formatCode="&quot;$&quot;#,##0"/>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0" formatCode="General"/>
      <fill>
        <patternFill patternType="solid">
          <fgColor indexed="64"/>
          <bgColor theme="4" tint="0.79998168889431442"/>
        </patternFill>
      </fill>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174" formatCode="&quot;$&quot;#,##0"/>
    </dxf>
    <dxf>
      <font>
        <strike val="0"/>
        <outline val="0"/>
        <shadow val="0"/>
        <u val="none"/>
        <vertAlign val="baseline"/>
        <sz val="12"/>
        <name val="Calibri"/>
        <family val="2"/>
        <scheme val="minor"/>
      </font>
      <numFmt numFmtId="3" formatCode="#,##0"/>
    </dxf>
    <dxf>
      <font>
        <strike val="0"/>
        <outline val="0"/>
        <shadow val="0"/>
        <u val="none"/>
        <vertAlign val="baseline"/>
        <sz val="12"/>
        <name val="Calibri"/>
        <family val="2"/>
        <scheme val="minor"/>
      </font>
      <numFmt numFmtId="179" formatCode="_(* #,##0.0000_);_(* \(#,##0.0000\);_(* &quot;-&quot;????_);_(@_)"/>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strike val="0"/>
        <outline val="0"/>
        <shadow val="0"/>
        <u val="none"/>
        <vertAlign val="baseline"/>
        <sz val="12"/>
        <name val="Calibri"/>
        <family val="2"/>
        <scheme val="minor"/>
      </font>
    </dxf>
    <dxf>
      <font>
        <b val="0"/>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numFmt numFmtId="175" formatCode="0.0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alignment horizontal="left" vertical="bottom" textRotation="0" wrapText="0" relativeIndent="1" justifyLastLine="0" shrinkToFit="0" readingOrder="0"/>
    </dxf>
    <dxf>
      <border outline="0">
        <top style="thin">
          <color indexed="64"/>
        </top>
        <bottom style="thin">
          <color theme="7" tint="0.39997558519241921"/>
        </bottom>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rgb="FFB7DCFA"/>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Calibri"/>
        <family val="2"/>
        <scheme val="none"/>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fill>
        <patternFill patternType="solid">
          <fgColor rgb="FF000000"/>
          <bgColor rgb="FFFFF2CC"/>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77" formatCode="&quot;$&quot;#,##0.00_);[Red]\(&quot;$&quot;#,##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solid">
          <fgColor indexed="64"/>
          <bgColor theme="0" tint="-0.49998474074526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0" formatCode="Genera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dxf>
    <dxf>
      <border outline="0">
        <bottom style="thin">
          <color auto="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font>
      <numFmt numFmtId="14" formatCode="0.00%"/>
      <fill>
        <patternFill patternType="none">
          <fgColor indexed="64"/>
          <bgColor auto="1"/>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font>
      <numFmt numFmtId="166" formatCode="&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5" formatCode="0.0000"/>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175" formatCode="0.0000"/>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7" formatCode="&quot;$&quot;#,##0.00_);[Red]\(&quot;$&quot;#,##0.00\);\-"/>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76" formatCode="&quot;$&quot;#,##0_);[Red]\(&quot;$&quot;#,##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5" formatCode="0.0000"/>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numFmt numFmtId="176" formatCode="&quot;$&quot;#,##0_);[Red]\(&quot;$&quot;#,##0\);\-"/>
      <fill>
        <patternFill patternType="solid">
          <fgColor indexed="64"/>
          <bgColor theme="7"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font>
      <fill>
        <patternFill patternType="solid">
          <fgColor indexed="64"/>
          <bgColor theme="7" tint="0.79998168889431442"/>
        </patternFill>
      </fill>
      <alignment horizontal="center" vertical="top" textRotation="0" wrapText="1" indent="0" justifyLastLine="0" shrinkToFit="0" readingOrder="0"/>
    </dxf>
    <dxf>
      <border outline="0">
        <bottom style="thin">
          <color auto="1"/>
        </bottom>
      </border>
    </dxf>
    <dxf>
      <font>
        <strike val="0"/>
        <outline val="0"/>
        <shadow val="0"/>
        <vertAlign val="baseline"/>
        <sz val="12"/>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dxf>
    <dxf>
      <numFmt numFmtId="2" formatCode="0.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ptos"/>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7DCFA"/>
      <color rgb="FF3F3F7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539180</xdr:colOff>
      <xdr:row>3</xdr:row>
      <xdr:rowOff>30616</xdr:rowOff>
    </xdr:from>
    <xdr:to>
      <xdr:col>28</xdr:col>
      <xdr:colOff>455835</xdr:colOff>
      <xdr:row>9</xdr:row>
      <xdr:rowOff>217714</xdr:rowOff>
    </xdr:to>
    <xdr:sp macro="" textlink="">
      <xdr:nvSpPr>
        <xdr:cNvPr id="3" name="Rectangle 1">
          <a:extLst>
            <a:ext uri="{FF2B5EF4-FFF2-40B4-BE49-F238E27FC236}">
              <a16:creationId xmlns:a16="http://schemas.microsoft.com/office/drawing/2014/main" id="{EC5B4C28-9F31-4D26-ACB1-3D9DABE9A0ED}"/>
            </a:ext>
          </a:extLst>
        </xdr:cNvPr>
        <xdr:cNvSpPr/>
      </xdr:nvSpPr>
      <xdr:spPr>
        <a:xfrm>
          <a:off x="15262109" y="806223"/>
          <a:ext cx="4815226" cy="154781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actual experience in the yellow cells, based on experience for this Washington State market for each</a:t>
          </a:r>
          <a:r>
            <a:rPr lang="en-US" sz="1200" i="0" baseline="0">
              <a:solidFill>
                <a:sysClr val="windowText" lastClr="000000"/>
              </a:solidFill>
              <a:effectLst/>
              <a:latin typeface="+mn-lt"/>
              <a:ea typeface="+mn-ea"/>
              <a:cs typeface="+mn-cs"/>
            </a:rPr>
            <a:t> plan year. </a:t>
          </a:r>
        </a:p>
        <a:p>
          <a:pPr marL="182880" algn="l">
            <a:lnSpc>
              <a:spcPct val="108000"/>
            </a:lnSpc>
          </a:pPr>
          <a:endParaRPr lang="en-US" sz="600" b="0" i="0" kern="120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a:p>
          <a:pPr marL="182880" algn="l">
            <a:lnSpc>
              <a:spcPct val="108000"/>
            </a:lnSpc>
          </a:pPr>
          <a:r>
            <a:rPr lang="en-US" sz="1200" b="0" i="0" kern="1200" baseline="0">
              <a:solidFill>
                <a:sysClr val="windowText" lastClr="000000"/>
              </a:solidFill>
              <a:effectLst/>
              <a:latin typeface="+mn-lt"/>
              <a:ea typeface="+mn-ea"/>
              <a:cs typeface="+mn-cs"/>
            </a:rPr>
            <a:t>Identify the source of the information entered and any adjustments used.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xdr:col>
      <xdr:colOff>154782</xdr:colOff>
      <xdr:row>6</xdr:row>
      <xdr:rowOff>44221</xdr:rowOff>
    </xdr:from>
    <xdr:to>
      <xdr:col>24</xdr:col>
      <xdr:colOff>0</xdr:colOff>
      <xdr:row>55</xdr:row>
      <xdr:rowOff>81642</xdr:rowOff>
    </xdr:to>
    <xdr:sp macro="" textlink="">
      <xdr:nvSpPr>
        <xdr:cNvPr id="2" name="Rectangle 1">
          <a:extLst>
            <a:ext uri="{FF2B5EF4-FFF2-40B4-BE49-F238E27FC236}">
              <a16:creationId xmlns:a16="http://schemas.microsoft.com/office/drawing/2014/main" id="{9AF94F70-76C1-4F7A-B76A-FB8DCED6BECF}"/>
            </a:ext>
          </a:extLst>
        </xdr:cNvPr>
        <xdr:cNvSpPr/>
      </xdr:nvSpPr>
      <xdr:spPr>
        <a:xfrm>
          <a:off x="13122389" y="1663471"/>
          <a:ext cx="6580754" cy="1075985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2 Instructions</a:t>
          </a:r>
        </a:p>
        <a:p>
          <a:pPr algn="l">
            <a:lnSpc>
              <a:spcPct val="108000"/>
            </a:lnSpc>
          </a:pPr>
          <a:r>
            <a:rPr lang="en-US" sz="1400" b="1" i="0" u="sng" strike="noStrike" kern="1200">
              <a:solidFill>
                <a:schemeClr val="tx2"/>
              </a:solidFill>
              <a:effectLst/>
              <a:latin typeface="+mn-lt"/>
              <a:ea typeface="+mn-ea"/>
              <a:cs typeface="+mn-cs"/>
            </a:rPr>
            <a:t>1. Actual-to-Expected Experience</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and projected, as appropriate, data in the yellow cells, based on this Washington</a:t>
          </a:r>
          <a:r>
            <a:rPr lang="en-US" sz="1200" i="0" baseline="0">
              <a:solidFill>
                <a:sysClr val="windowText" lastClr="000000"/>
              </a:solidFill>
              <a:effectLst/>
              <a:latin typeface="+mn-lt"/>
              <a:ea typeface="+mn-ea"/>
              <a:cs typeface="+mn-cs"/>
            </a:rPr>
            <a:t> State market</a:t>
          </a:r>
          <a:r>
            <a:rPr lang="en-US" sz="1200" i="0">
              <a:solidFill>
                <a:sysClr val="windowText" lastClr="000000"/>
              </a:solidFill>
              <a:effectLst/>
              <a:latin typeface="+mn-lt"/>
              <a:ea typeface="+mn-ea"/>
              <a:cs typeface="+mn-cs"/>
            </a:rPr>
            <a:t>.</a:t>
          </a:r>
        </a:p>
        <a:p>
          <a:pPr marL="365760" indent="-182880" algn="l">
            <a:lnSpc>
              <a:spcPct val="108000"/>
            </a:lnSpc>
          </a:pPr>
          <a:r>
            <a:rPr lang="en-US" sz="1200" b="0" i="0" kern="1200">
              <a:solidFill>
                <a:sysClr val="windowText" lastClr="000000"/>
              </a:solidFill>
              <a:effectLst/>
              <a:latin typeface="+mn-lt"/>
              <a:ea typeface="+mn-ea"/>
              <a:cs typeface="+mn-cs"/>
            </a:rPr>
            <a:t>b. </a:t>
          </a:r>
          <a:r>
            <a:rPr lang="en-US" sz="1200" i="0">
              <a:solidFill>
                <a:sysClr val="windowText" lastClr="000000"/>
              </a:solidFill>
              <a:effectLst/>
              <a:latin typeface="+mn-lt"/>
              <a:ea typeface="+mn-ea"/>
              <a:cs typeface="+mn-cs"/>
            </a:rPr>
            <a:t>Unless otherwise specified, definitions should align with those used in the URRT.</a:t>
          </a:r>
        </a:p>
        <a:p>
          <a:pPr marL="365760" indent="-182880" algn="l">
            <a:lnSpc>
              <a:spcPct val="108000"/>
            </a:lnSpc>
          </a:pPr>
          <a:r>
            <a:rPr lang="en-US" sz="1200" i="0">
              <a:solidFill>
                <a:sysClr val="windowText" lastClr="000000"/>
              </a:solidFill>
              <a:effectLst/>
              <a:latin typeface="+mn-lt"/>
              <a:ea typeface="+mn-ea"/>
              <a:cs typeface="+mn-cs"/>
            </a:rPr>
            <a:t>c. Populate "Experience" (A) consistent with results reported in the PY2026 rate filing.</a:t>
          </a:r>
        </a:p>
        <a:p>
          <a:pPr marL="365760" indent="-182880" algn="l">
            <a:lnSpc>
              <a:spcPct val="108000"/>
            </a:lnSpc>
          </a:pPr>
          <a:r>
            <a:rPr lang="en-US" sz="1200" i="0">
              <a:solidFill>
                <a:sysClr val="windowText" lastClr="000000"/>
              </a:solidFill>
              <a:effectLst/>
              <a:latin typeface="+mn-lt"/>
              <a:ea typeface="+mn-ea"/>
              <a:cs typeface="+mn-cs"/>
            </a:rPr>
            <a:t>d. Populate "Projected" (E) consistent with projections from the PY2024 rate filing.</a:t>
          </a:r>
        </a:p>
        <a:p>
          <a:pPr marL="365760" indent="-182880" algn="l">
            <a:lnSpc>
              <a:spcPct val="108000"/>
            </a:lnSpc>
          </a:pPr>
          <a:r>
            <a:rPr lang="en-US" sz="1200" i="0">
              <a:solidFill>
                <a:sysClr val="windowText" lastClr="000000"/>
              </a:solidFill>
              <a:effectLst/>
              <a:latin typeface="+mn-lt"/>
              <a:ea typeface="+mn-ea"/>
              <a:cs typeface="+mn-cs"/>
            </a:rPr>
            <a:t>e. Allowed &amp; incurred claims should be completed claims that include incurred but not paid (IBNP) amounts, as applicable.</a:t>
          </a:r>
        </a:p>
        <a:p>
          <a:pPr marL="365760" indent="-182880" algn="l">
            <a:lnSpc>
              <a:spcPct val="108000"/>
            </a:lnSpc>
          </a:pPr>
          <a:r>
            <a:rPr lang="en-US" sz="1200" i="0">
              <a:solidFill>
                <a:sysClr val="windowText" lastClr="000000"/>
              </a:solidFill>
              <a:effectLst/>
              <a:latin typeface="+mn-lt"/>
              <a:ea typeface="+mn-ea"/>
              <a:cs typeface="+mn-cs"/>
            </a:rPr>
            <a:t>f. CSR Amounts: Input theoretical (i.e., estimated) CSR amounts when the federal government does not directly reimburse CSR amounts. If</a:t>
          </a:r>
          <a:r>
            <a:rPr lang="en-US" sz="1200" i="0" baseline="0">
              <a:solidFill>
                <a:sysClr val="windowText" lastClr="000000"/>
              </a:solidFill>
              <a:effectLst/>
              <a:latin typeface="+mn-lt"/>
              <a:ea typeface="+mn-ea"/>
              <a:cs typeface="+mn-cs"/>
            </a:rPr>
            <a:t> CSR amounts are directly reimbursed by the federal government, those actual CSR amounts should be used instead.</a:t>
          </a:r>
        </a:p>
        <a:p>
          <a:pPr marL="365760" indent="-182880" algn="l">
            <a:lnSpc>
              <a:spcPct val="108000"/>
            </a:lnSpc>
          </a:pPr>
          <a:r>
            <a:rPr lang="en-US" sz="1200" i="0" baseline="0">
              <a:solidFill>
                <a:sysClr val="windowText" lastClr="000000"/>
              </a:solidFill>
              <a:effectLst/>
              <a:latin typeface="+mn-lt"/>
              <a:ea typeface="+mn-ea"/>
              <a:cs typeface="+mn-cs"/>
            </a:rPr>
            <a:t>g. Risk Adjustment Transfer Amounts: Include high-cost risk pool (HCRP) assessments and receipts, as applicable.</a:t>
          </a:r>
        </a:p>
        <a:p>
          <a:pPr marL="365760" indent="-182880" algn="l">
            <a:lnSpc>
              <a:spcPct val="108000"/>
            </a:lnSpc>
          </a:pPr>
          <a:r>
            <a:rPr lang="en-US" sz="1200" i="0" baseline="0">
              <a:solidFill>
                <a:sysClr val="windowText" lastClr="000000"/>
              </a:solidFill>
              <a:effectLst/>
              <a:latin typeface="+mn-lt"/>
              <a:ea typeface="+mn-ea"/>
              <a:cs typeface="+mn-cs"/>
            </a:rPr>
            <a:t>h. Review calculated amounts and highlighted differences.</a:t>
          </a:r>
        </a:p>
        <a:p>
          <a:pPr marL="365760" indent="-182880" algn="l">
            <a:lnSpc>
              <a:spcPct val="108000"/>
            </a:lnSpc>
          </a:pPr>
          <a:r>
            <a:rPr lang="en-US" sz="1200" i="0" baseline="0">
              <a:solidFill>
                <a:sysClr val="windowText" lastClr="000000"/>
              </a:solidFill>
              <a:effectLst/>
              <a:latin typeface="+mn-lt"/>
              <a:ea typeface="+mn-ea"/>
              <a:cs typeface="+mn-cs"/>
            </a:rPr>
            <a:t>i. Address significant differences in Comments at the bottom of this worksheet.</a:t>
          </a:r>
        </a:p>
        <a:p>
          <a:pPr marL="365760" indent="-182880" algn="l">
            <a:lnSpc>
              <a:spcPct val="108000"/>
            </a:lnSpc>
          </a:pPr>
          <a:r>
            <a:rPr lang="en-US" sz="1200" i="0" baseline="0">
              <a:solidFill>
                <a:sysClr val="windowText" lastClr="000000"/>
              </a:solidFill>
              <a:effectLst/>
              <a:latin typeface="+mn-lt"/>
              <a:ea typeface="+mn-ea"/>
              <a:cs typeface="+mn-cs"/>
            </a:rPr>
            <a:t>j. Add other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Profit Reconciliation</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"Profit Reconciliation" section. </a:t>
          </a:r>
        </a:p>
        <a:p>
          <a:pPr marL="365760" indent="-182880">
            <a:lnSpc>
              <a:spcPct val="108000"/>
            </a:lnSpc>
          </a:pPr>
          <a:r>
            <a:rPr lang="en-US" sz="1200" b="0" i="0" kern="1200" baseline="0">
              <a:solidFill>
                <a:sysClr val="windowText" lastClr="000000"/>
              </a:solidFill>
              <a:effectLst/>
              <a:latin typeface="+mn-lt"/>
              <a:ea typeface="+mn-ea"/>
              <a:cs typeface="+mn-cs"/>
            </a:rPr>
            <a:t>b. Review and address any differences significantly different than $0. </a:t>
          </a:r>
        </a:p>
        <a:p>
          <a:pPr marL="365760" indent="-182880">
            <a:lnSpc>
              <a:spcPct val="108000"/>
            </a:lnSpc>
          </a:pPr>
          <a:r>
            <a:rPr lang="en-US" sz="1200" b="0" i="0" kern="1200" baseline="0">
              <a:solidFill>
                <a:sysClr val="windowText" lastClr="000000"/>
              </a:solidFill>
              <a:effectLst/>
              <a:latin typeface="+mn-lt"/>
              <a:ea typeface="+mn-ea"/>
              <a:cs typeface="+mn-cs"/>
            </a:rPr>
            <a:t>c.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Loss Ratios</a:t>
          </a:r>
        </a:p>
        <a:p>
          <a:pPr marL="365760" indent="-182880">
            <a:lnSpc>
              <a:spcPct val="108000"/>
            </a:lnSpc>
          </a:pPr>
          <a:r>
            <a:rPr lang="en-US" sz="1200" b="0" i="0" kern="1200" baseline="0">
              <a:solidFill>
                <a:sysClr val="windowText" lastClr="000000"/>
              </a:solidFill>
              <a:effectLst/>
              <a:latin typeface="+mn-lt"/>
              <a:ea typeface="+mn-ea"/>
              <a:cs typeface="+mn-cs"/>
            </a:rPr>
            <a:t>a. Review calculated amounts in the "Loss Ratios" section". </a:t>
          </a:r>
        </a:p>
        <a:p>
          <a:pPr marL="365760" indent="-182880">
            <a:lnSpc>
              <a:spcPct val="108000"/>
            </a:lnSpc>
          </a:pPr>
          <a:r>
            <a:rPr lang="en-US" sz="1200" b="0" i="0" kern="1200" baseline="0">
              <a:solidFill>
                <a:sysClr val="windowText" lastClr="000000"/>
              </a:solidFill>
              <a:effectLst/>
              <a:latin typeface="+mn-lt"/>
              <a:ea typeface="+mn-ea"/>
              <a:cs typeface="+mn-cs"/>
            </a:rPr>
            <a:t>b. Add notes, as needed, to Comments at the bottom of this worksheet.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4. Comments</a:t>
          </a:r>
        </a:p>
        <a:p>
          <a:pPr marL="182880" indent="0">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p>
        <a:p>
          <a:endParaRPr lang="en-US" sz="1100">
            <a:solidFill>
              <a:sysClr val="windowText" lastClr="000000"/>
            </a:solidFill>
            <a:effectLst/>
          </a:endParaRPr>
        </a:p>
        <a:p>
          <a:pPr marL="182880"/>
          <a:r>
            <a:rPr lang="en-US" sz="1100" b="1">
              <a:solidFill>
                <a:sysClr val="windowText" lastClr="000000"/>
              </a:solidFill>
              <a:effectLst/>
              <a:latin typeface="+mn-lt"/>
              <a:ea typeface="+mn-ea"/>
              <a:cs typeface="+mn-cs"/>
            </a:rPr>
            <a:t>Identify Material Differences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Clearly describe the magnitude and nature of the discrepancy.</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Indicate whether the difference is isolated or part of a broader trend.</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Root Cause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Investigate the key drivers of significant differences in actual-to-expected (A:E) results.</a:t>
          </a:r>
        </a:p>
        <a:p>
          <a:pPr marL="182880"/>
          <a:r>
            <a:rPr lang="en-US" sz="1100">
              <a:solidFill>
                <a:sysClr val="windowText" lastClr="000000"/>
              </a:solidFill>
              <a:effectLst/>
              <a:latin typeface="+mn-lt"/>
              <a:ea typeface="+mn-ea"/>
              <a:cs typeface="+mn-cs"/>
            </a:rPr>
            <a:t>• Distinguish between internal model issues and external market or environmental influences.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Historical Context &amp; Trend Analysis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Note any changes in underlying assumptions or external conditions since previous evaluations.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Describe Model Deficiencies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For each material difference that indicates a deficiency, explain the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Summarize the root cause and contributing factors in clear, concise language.</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Document Model Updates</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Specify how you have updated or plan to update the model to address each identified issue.</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Outline any modifications to assumptions, data sources, or methodologies.</a:t>
          </a:r>
        </a:p>
        <a:p>
          <a:pPr marL="182880"/>
          <a:endParaRPr lang="en-US" sz="600">
            <a:solidFill>
              <a:sysClr val="windowText" lastClr="000000"/>
            </a:solidFill>
            <a:effectLst/>
          </a:endParaRPr>
        </a:p>
        <a:p>
          <a:pPr marL="182880"/>
          <a:r>
            <a:rPr lang="en-US" sz="1100" b="1">
              <a:solidFill>
                <a:sysClr val="windowText" lastClr="000000"/>
              </a:solidFill>
              <a:effectLst/>
              <a:latin typeface="+mn-lt"/>
              <a:ea typeface="+mn-ea"/>
              <a:cs typeface="+mn-cs"/>
            </a:rPr>
            <a:t>Expected Impact &amp; Action Plan</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100">
            <a:solidFill>
              <a:sysClr val="windowText" lastClr="000000"/>
            </a:solidFill>
            <a:effectLst/>
          </a:endParaRPr>
        </a:p>
        <a:p>
          <a:pPr marL="182880"/>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100">
            <a:solidFill>
              <a:sysClr val="windowText" lastClr="000000"/>
            </a:solidFill>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15</xdr:col>
      <xdr:colOff>149679</xdr:colOff>
      <xdr:row>6</xdr:row>
      <xdr:rowOff>136070</xdr:rowOff>
    </xdr:from>
    <xdr:to>
      <xdr:col>27</xdr:col>
      <xdr:colOff>340178</xdr:colOff>
      <xdr:row>46</xdr:row>
      <xdr:rowOff>204108</xdr:rowOff>
    </xdr:to>
    <xdr:sp macro="" textlink="">
      <xdr:nvSpPr>
        <xdr:cNvPr id="2" name="Rectangle 7">
          <a:extLst>
            <a:ext uri="{FF2B5EF4-FFF2-40B4-BE49-F238E27FC236}">
              <a16:creationId xmlns:a16="http://schemas.microsoft.com/office/drawing/2014/main" id="{6BBC49BE-2139-46E7-B195-AB4E7B1D869C}"/>
            </a:ext>
          </a:extLst>
        </xdr:cNvPr>
        <xdr:cNvSpPr/>
      </xdr:nvSpPr>
      <xdr:spPr>
        <a:xfrm>
          <a:off x="15294429" y="1755320"/>
          <a:ext cx="7538356" cy="90215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149679</xdr:colOff>
      <xdr:row>7</xdr:row>
      <xdr:rowOff>136070</xdr:rowOff>
    </xdr:from>
    <xdr:to>
      <xdr:col>27</xdr:col>
      <xdr:colOff>340178</xdr:colOff>
      <xdr:row>47</xdr:row>
      <xdr:rowOff>204108</xdr:rowOff>
    </xdr:to>
    <xdr:sp macro="" textlink="">
      <xdr:nvSpPr>
        <xdr:cNvPr id="2" name="Rectangle 7">
          <a:extLst>
            <a:ext uri="{FF2B5EF4-FFF2-40B4-BE49-F238E27FC236}">
              <a16:creationId xmlns:a16="http://schemas.microsoft.com/office/drawing/2014/main" id="{8D71F0FB-434E-48F3-8968-E5B2366BA9E3}"/>
            </a:ext>
          </a:extLst>
        </xdr:cNvPr>
        <xdr:cNvSpPr/>
      </xdr:nvSpPr>
      <xdr:spPr>
        <a:xfrm>
          <a:off x="15275379" y="1726745"/>
          <a:ext cx="7505699" cy="9012013"/>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3 Instructions</a:t>
          </a:r>
        </a:p>
        <a:p>
          <a:pPr algn="l">
            <a:lnSpc>
              <a:spcPct val="108000"/>
            </a:lnSpc>
          </a:pPr>
          <a:r>
            <a:rPr lang="en-US" sz="1200" b="0" i="0" u="none" strike="noStrike" kern="1200">
              <a:solidFill>
                <a:sysClr val="windowText" lastClr="000000"/>
              </a:solidFill>
              <a:effectLst/>
              <a:latin typeface="+mn-lt"/>
              <a:ea typeface="+mn-ea"/>
              <a:cs typeface="+mn-cs"/>
            </a:rPr>
            <a:t>Note: This exhibit supports URRT Worksheet 1 trends.</a:t>
          </a:r>
        </a:p>
        <a:p>
          <a:pPr algn="l">
            <a:lnSpc>
              <a:spcPct val="108000"/>
            </a:lnSpc>
          </a:pPr>
          <a:r>
            <a:rPr lang="en-US" sz="1400" b="1" i="0" u="sng" strike="noStrike" kern="1200">
              <a:solidFill>
                <a:schemeClr val="tx2"/>
              </a:solidFill>
              <a:effectLst/>
              <a:latin typeface="+mn-lt"/>
              <a:ea typeface="+mn-ea"/>
              <a:cs typeface="+mn-cs"/>
            </a:rPr>
            <a:t>1. EXPERIENCE &amp; PROJECTED DATA -- UNITS &amp; UNIT COST</a:t>
          </a:r>
        </a:p>
        <a:p>
          <a:pPr marL="365760" indent="-182880" algn="l">
            <a:lnSpc>
              <a:spcPct val="108000"/>
            </a:lnSpc>
          </a:pPr>
          <a:r>
            <a:rPr lang="en-US" sz="1200" b="0" i="0" u="none" strike="noStrike" kern="1200">
              <a:solidFill>
                <a:sysClr val="windowText" lastClr="000000"/>
              </a:solidFill>
              <a:effectLst/>
              <a:latin typeface="+mn-lt"/>
              <a:ea typeface="+mn-ea"/>
              <a:cs typeface="+mn-cs"/>
            </a:rPr>
            <a:t>a. Input</a:t>
          </a:r>
          <a:r>
            <a:rPr lang="en-US" sz="1200" i="0">
              <a:solidFill>
                <a:sysClr val="windowText" lastClr="000000"/>
              </a:solidFill>
              <a:effectLst/>
              <a:latin typeface="+mn-lt"/>
              <a:ea typeface="+mn-ea"/>
              <a:cs typeface="+mn-cs"/>
            </a:rPr>
            <a:t> actual experience in the yellow cells in columns C &amp; D, based on experience (or</a:t>
          </a:r>
          <a:r>
            <a:rPr lang="en-US" sz="1200" i="0" baseline="0">
              <a:solidFill>
                <a:sysClr val="windowText" lastClr="000000"/>
              </a:solidFill>
              <a:effectLst/>
              <a:latin typeface="+mn-lt"/>
              <a:ea typeface="+mn-ea"/>
              <a:cs typeface="+mn-cs"/>
            </a:rPr>
            <a:t> projections) </a:t>
          </a:r>
          <a:r>
            <a:rPr lang="en-US" sz="1200" i="0">
              <a:solidFill>
                <a:sysClr val="windowText" lastClr="000000"/>
              </a:solidFill>
              <a:effectLst/>
              <a:latin typeface="+mn-lt"/>
              <a:ea typeface="+mn-ea"/>
              <a:cs typeface="+mn-cs"/>
            </a:rPr>
            <a:t>for this Washington State market for each</a:t>
          </a:r>
          <a:r>
            <a:rPr lang="en-US" sz="1200" i="0" baseline="0">
              <a:solidFill>
                <a:sysClr val="windowText" lastClr="000000"/>
              </a:solidFill>
              <a:effectLst/>
              <a:latin typeface="+mn-lt"/>
              <a:ea typeface="+mn-ea"/>
              <a:cs typeface="+mn-cs"/>
            </a:rPr>
            <a:t> plan year. </a:t>
          </a:r>
        </a:p>
        <a:p>
          <a:pPr marL="365760" indent="-182880" algn="l">
            <a:lnSpc>
              <a:spcPct val="108000"/>
            </a:lnSpc>
          </a:pPr>
          <a:r>
            <a:rPr lang="en-US" sz="1200" b="0" i="0" kern="1200">
              <a:solidFill>
                <a:sysClr val="windowText" lastClr="000000"/>
              </a:solidFill>
              <a:effectLst/>
              <a:latin typeface="+mn-lt"/>
              <a:ea typeface="+mn-ea"/>
              <a:cs typeface="+mn-cs"/>
            </a:rPr>
            <a:t>b. If you must estimate utilization data</a:t>
          </a:r>
          <a:r>
            <a:rPr lang="en-US" sz="1200" b="0" i="0" kern="1200" baseline="0">
              <a:solidFill>
                <a:sysClr val="windowText" lastClr="000000"/>
              </a:solidFill>
              <a:effectLst/>
              <a:latin typeface="+mn-lt"/>
              <a:ea typeface="+mn-ea"/>
              <a:cs typeface="+mn-cs"/>
            </a:rPr>
            <a:t> due to claims data limitations, in Comments at the bottom of this worksheet, identify the limitation(s) and explain how you modeled units. </a:t>
          </a:r>
          <a:endParaRPr lang="en-US" sz="1200" i="0">
            <a:solidFill>
              <a:sysClr val="windowText" lastClr="000000"/>
            </a:solidFill>
            <a:effectLst/>
            <a:latin typeface="+mn-lt"/>
            <a:ea typeface="+mn-ea"/>
            <a:cs typeface="+mn-cs"/>
          </a:endParaRPr>
        </a:p>
        <a:p>
          <a:pPr marL="365760" indent="-182880">
            <a:lnSpc>
              <a:spcPct val="108000"/>
            </a:lnSpc>
          </a:pPr>
          <a:r>
            <a:rPr lang="en-US" sz="1200" i="0">
              <a:solidFill>
                <a:sysClr val="windowText" lastClr="000000"/>
              </a:solidFill>
              <a:effectLst/>
              <a:latin typeface="+mn-lt"/>
              <a:ea typeface="+mn-ea"/>
              <a:cs typeface="+mn-cs"/>
            </a:rPr>
            <a:t>c. </a:t>
          </a:r>
          <a:r>
            <a:rPr lang="en-US" sz="1200" b="1" i="0">
              <a:solidFill>
                <a:sysClr val="windowText" lastClr="000000"/>
              </a:solidFill>
              <a:effectLst/>
              <a:latin typeface="+mn-lt"/>
              <a:ea typeface="+mn-ea"/>
              <a:cs typeface="+mn-cs"/>
            </a:rPr>
            <a:t>Frequency Units</a:t>
          </a:r>
          <a:r>
            <a:rPr lang="en-US" sz="1200" i="0">
              <a:solidFill>
                <a:sysClr val="windowText" lastClr="000000"/>
              </a:solidFill>
              <a:effectLst/>
              <a:latin typeface="+mn-lt"/>
              <a:ea typeface="+mn-ea"/>
              <a:cs typeface="+mn-cs"/>
            </a:rPr>
            <a:t> describe</a:t>
          </a:r>
          <a:r>
            <a:rPr lang="en-US" sz="1200" i="0" baseline="0">
              <a:solidFill>
                <a:sysClr val="windowText" lastClr="000000"/>
              </a:solidFill>
              <a:effectLst/>
              <a:latin typeface="+mn-lt"/>
              <a:ea typeface="+mn-ea"/>
              <a:cs typeface="+mn-cs"/>
            </a:rPr>
            <a:t> the amounts in the "Units per 1,000" column.</a:t>
          </a:r>
        </a:p>
        <a:p>
          <a:pPr marL="365760" indent="-182880">
            <a:lnSpc>
              <a:spcPct val="108000"/>
            </a:lnSpc>
          </a:pPr>
          <a:r>
            <a:rPr lang="en-US" sz="1200" i="0" baseline="0">
              <a:solidFill>
                <a:sysClr val="windowText" lastClr="000000"/>
              </a:solidFill>
              <a:effectLst/>
              <a:latin typeface="+mn-lt"/>
              <a:ea typeface="+mn-ea"/>
              <a:cs typeface="+mn-cs"/>
            </a:rPr>
            <a:t>    -- For inpatient hospital, "Days" are selected to capture all lengths of stay, not just a count of admissions.</a:t>
          </a:r>
        </a:p>
        <a:p>
          <a:pPr marL="365760" indent="-182880">
            <a:lnSpc>
              <a:spcPct val="108000"/>
            </a:lnSpc>
          </a:pPr>
          <a:r>
            <a:rPr lang="en-US" sz="1200" i="0" baseline="0">
              <a:solidFill>
                <a:sysClr val="windowText" lastClr="000000"/>
              </a:solidFill>
              <a:effectLst/>
              <a:latin typeface="+mn-lt"/>
              <a:ea typeface="+mn-ea"/>
              <a:cs typeface="+mn-cs"/>
            </a:rPr>
            <a:t>    -- For outpatient hospital and professional benefits, "Services" are selected based on a common unit value used by carriers and will recognize multiple services per visit and multiple services per claim. </a:t>
          </a:r>
        </a:p>
        <a:p>
          <a:pPr marL="365760" indent="-182880">
            <a:lnSpc>
              <a:spcPct val="108000"/>
            </a:lnSpc>
          </a:pPr>
          <a:r>
            <a:rPr lang="en-US" sz="1200" i="0" baseline="0">
              <a:solidFill>
                <a:sysClr val="windowText" lastClr="000000"/>
              </a:solidFill>
              <a:effectLst/>
              <a:latin typeface="+mn-lt"/>
              <a:ea typeface="+mn-ea"/>
              <a:cs typeface="+mn-cs"/>
            </a:rPr>
            <a:t>    -- For prescription drugs, "Days Filled" recognizes that when prescriptions are filled, they may cover a different number of days. Consider, for example, that mail-order prescriptions typically cover more days than retail prescriptions.</a:t>
          </a:r>
        </a:p>
        <a:p>
          <a:pPr marL="365760" indent="-182880">
            <a:lnSpc>
              <a:spcPct val="108000"/>
            </a:lnSpc>
          </a:pPr>
          <a:r>
            <a:rPr lang="en-US" sz="1200" i="0" baseline="0">
              <a:solidFill>
                <a:sysClr val="windowText" lastClr="000000"/>
              </a:solidFill>
              <a:effectLst/>
              <a:latin typeface="+mn-lt"/>
              <a:ea typeface="+mn-ea"/>
              <a:cs typeface="+mn-cs"/>
            </a:rPr>
            <a:t>d. </a:t>
          </a:r>
          <a:r>
            <a:rPr lang="en-US" sz="1200" b="1" i="0" baseline="0">
              <a:solidFill>
                <a:sysClr val="windowText" lastClr="000000"/>
              </a:solidFill>
              <a:effectLst/>
              <a:latin typeface="+mn-lt"/>
              <a:ea typeface="+mn-ea"/>
              <a:cs typeface="+mn-cs"/>
            </a:rPr>
            <a:t>Units per 1,000</a:t>
          </a:r>
          <a:r>
            <a:rPr lang="en-US" sz="1200" i="0" baseline="0">
              <a:solidFill>
                <a:sysClr val="windowText" lastClr="000000"/>
              </a:solidFill>
              <a:effectLst/>
              <a:latin typeface="+mn-lt"/>
              <a:ea typeface="+mn-ea"/>
              <a:cs typeface="+mn-cs"/>
            </a:rPr>
            <a:t> measure utilization per 1,000 members per year. Calculated as (number of units per 1,000 members) = (Sum of units for the year across all members) / (Total member months for the year) x 12,000.</a:t>
          </a:r>
        </a:p>
        <a:p>
          <a:pPr marL="365760" indent="-182880">
            <a:lnSpc>
              <a:spcPct val="108000"/>
            </a:lnSpc>
          </a:pPr>
          <a:r>
            <a:rPr lang="en-US" sz="1200" i="0" baseline="0">
              <a:solidFill>
                <a:sysClr val="windowText" lastClr="000000"/>
              </a:solidFill>
              <a:effectLst/>
              <a:latin typeface="+mn-lt"/>
              <a:ea typeface="+mn-ea"/>
              <a:cs typeface="+mn-cs"/>
            </a:rPr>
            <a:t>e. </a:t>
          </a:r>
          <a:r>
            <a:rPr lang="en-US" sz="1200" b="1" i="0" baseline="0">
              <a:solidFill>
                <a:sysClr val="windowText" lastClr="000000"/>
              </a:solidFill>
              <a:effectLst/>
              <a:latin typeface="+mn-lt"/>
              <a:ea typeface="+mn-ea"/>
              <a:cs typeface="+mn-cs"/>
            </a:rPr>
            <a:t>Unit cost</a:t>
          </a:r>
          <a:r>
            <a:rPr lang="en-US" sz="1200" i="0" baseline="0">
              <a:solidFill>
                <a:sysClr val="windowText" lastClr="000000"/>
              </a:solidFill>
              <a:effectLst/>
              <a:latin typeface="+mn-lt"/>
              <a:ea typeface="+mn-ea"/>
              <a:cs typeface="+mn-cs"/>
            </a:rPr>
            <a:t> measures the average cost per unit within each category (i.e., an average cost per occurrence). The amount will vary by benefit category, such as inpatient, outpatient, professional, and prescription rug.</a:t>
          </a:r>
        </a:p>
        <a:p>
          <a:pPr marL="365760" indent="-182880">
            <a:lnSpc>
              <a:spcPct val="108000"/>
            </a:lnSpc>
          </a:pPr>
          <a:r>
            <a:rPr lang="en-US" sz="1200" i="0" baseline="0">
              <a:solidFill>
                <a:sysClr val="windowText" lastClr="000000"/>
              </a:solidFill>
              <a:effectLst/>
              <a:latin typeface="+mn-lt"/>
              <a:ea typeface="+mn-ea"/>
              <a:cs typeface="+mn-cs"/>
            </a:rPr>
            <a:t>f. Add notes, as needed, to Comments at the bottom of this worksheet.</a:t>
          </a:r>
        </a:p>
        <a:p>
          <a:pPr>
            <a:lnSpc>
              <a:spcPct val="108000"/>
            </a:lnSpc>
          </a:pPr>
          <a:endParaRPr lang="en-US" sz="1200" i="0" baseline="0">
            <a:solidFill>
              <a:sysClr val="windowText" lastClr="000000"/>
            </a:solidFill>
            <a:effectLst/>
            <a:latin typeface="+mn-lt"/>
            <a:ea typeface="+mn-ea"/>
            <a:cs typeface="+mn-cs"/>
          </a:endParaRPr>
        </a:p>
        <a:p>
          <a:pPr>
            <a:lnSpc>
              <a:spcPct val="108000"/>
            </a:lnSpc>
          </a:pPr>
          <a:r>
            <a:rPr lang="en-US" sz="1400" b="1" i="0" u="sng" baseline="0">
              <a:solidFill>
                <a:schemeClr val="tx2"/>
              </a:solidFill>
              <a:effectLst/>
              <a:latin typeface="+mn-lt"/>
              <a:ea typeface="+mn-ea"/>
              <a:cs typeface="+mn-cs"/>
            </a:rPr>
            <a:t>2. EXPERIENCE &amp; PROJECTED TRENDS</a:t>
          </a:r>
        </a:p>
        <a:p>
          <a:pPr marL="182880">
            <a:lnSpc>
              <a:spcPct val="108000"/>
            </a:lnSpc>
          </a:pPr>
          <a:r>
            <a:rPr lang="en-US" sz="1200" b="0" i="0" kern="1200" baseline="0">
              <a:solidFill>
                <a:sysClr val="windowText" lastClr="000000"/>
              </a:solidFill>
              <a:effectLst/>
              <a:latin typeface="+mn-lt"/>
              <a:ea typeface="+mn-ea"/>
              <a:cs typeface="+mn-cs"/>
            </a:rPr>
            <a:t>Input Washington State trends in the yellow cells in columns K &amp; L. </a:t>
          </a:r>
        </a:p>
        <a:p>
          <a:pPr marL="182880">
            <a:lnSpc>
              <a:spcPct val="108000"/>
            </a:lnSpc>
          </a:pPr>
          <a:r>
            <a:rPr lang="en-US" sz="1200" b="0" i="0" kern="1200" baseline="0">
              <a:solidFill>
                <a:sysClr val="windowText" lastClr="000000"/>
              </a:solidFill>
              <a:effectLst/>
              <a:latin typeface="+mn-lt"/>
              <a:ea typeface="+mn-ea"/>
              <a:cs typeface="+mn-cs"/>
            </a:rPr>
            <a:t>Input both estimated reimbursement trends and service mix/intensity trends. </a:t>
          </a:r>
        </a:p>
        <a:p>
          <a:pPr marL="182880">
            <a:lnSpc>
              <a:spcPct val="108000"/>
            </a:lnSpc>
          </a:pPr>
          <a:r>
            <a:rPr lang="en-US" sz="1200" b="0" i="0" kern="1200" baseline="0">
              <a:solidFill>
                <a:sysClr val="windowText" lastClr="000000"/>
              </a:solidFill>
              <a:effectLst/>
              <a:latin typeface="+mn-lt"/>
              <a:ea typeface="+mn-ea"/>
              <a:cs typeface="+mn-cs"/>
            </a:rPr>
            <a:t>See below for additional information.</a:t>
          </a:r>
        </a:p>
        <a:p>
          <a:pPr marL="182880">
            <a:lnSpc>
              <a:spcPct val="108000"/>
            </a:lnSpc>
          </a:pPr>
          <a:r>
            <a:rPr lang="en-US" sz="1200" b="0" i="0" kern="1200" baseline="0">
              <a:solidFill>
                <a:sysClr val="windowText" lastClr="000000"/>
              </a:solidFill>
              <a:effectLst/>
              <a:latin typeface="+mn-lt"/>
              <a:ea typeface="+mn-ea"/>
              <a:cs typeface="+mn-cs"/>
            </a:rPr>
            <a:t>-- Because unit cost is a summary statistic, it can be split into two subcomponents:</a:t>
          </a:r>
        </a:p>
        <a:p>
          <a:pPr marL="548640" indent="-182880">
            <a:lnSpc>
              <a:spcPct val="108000"/>
            </a:lnSpc>
          </a:pPr>
          <a:r>
            <a:rPr lang="en-US" sz="1200" b="0" i="0" kern="1200" baseline="0">
              <a:solidFill>
                <a:sysClr val="windowText" lastClr="000000"/>
              </a:solidFill>
              <a:effectLst/>
              <a:latin typeface="+mn-lt"/>
              <a:ea typeface="+mn-ea"/>
              <a:cs typeface="+mn-cs"/>
            </a:rPr>
            <a:t>(1) </a:t>
          </a:r>
          <a:r>
            <a:rPr lang="en-US" sz="1200" b="1" i="0" kern="1200" baseline="0">
              <a:solidFill>
                <a:sysClr val="windowText" lastClr="000000"/>
              </a:solidFill>
              <a:effectLst/>
              <a:latin typeface="+mn-lt"/>
              <a:ea typeface="+mn-ea"/>
              <a:cs typeface="+mn-cs"/>
            </a:rPr>
            <a:t>Reimbursement</a:t>
          </a:r>
          <a:r>
            <a:rPr lang="en-US" sz="1200" b="0" i="0" kern="1200" baseline="0">
              <a:solidFill>
                <a:sysClr val="windowText" lastClr="000000"/>
              </a:solidFill>
              <a:effectLst/>
              <a:latin typeface="+mn-lt"/>
              <a:ea typeface="+mn-ea"/>
              <a:cs typeface="+mn-cs"/>
            </a:rPr>
            <a:t>, as determined by provider reimbursement rates (i.e., what is paid to provider for each service)</a:t>
          </a:r>
        </a:p>
        <a:p>
          <a:pPr marL="548640" indent="-182880">
            <a:lnSpc>
              <a:spcPct val="108000"/>
            </a:lnSpc>
          </a:pPr>
          <a:r>
            <a:rPr lang="en-US" sz="1200" b="0" i="0" kern="1200" baseline="0">
              <a:solidFill>
                <a:sysClr val="windowText" lastClr="000000"/>
              </a:solidFill>
              <a:effectLst/>
              <a:latin typeface="+mn-lt"/>
              <a:ea typeface="+mn-ea"/>
              <a:cs typeface="+mn-cs"/>
            </a:rPr>
            <a:t>(2) </a:t>
          </a:r>
          <a:r>
            <a:rPr lang="en-US" sz="1200" b="1" i="0" kern="1200" baseline="0">
              <a:solidFill>
                <a:sysClr val="windowText" lastClr="000000"/>
              </a:solidFill>
              <a:effectLst/>
              <a:latin typeface="+mn-lt"/>
              <a:ea typeface="+mn-ea"/>
              <a:cs typeface="+mn-cs"/>
            </a:rPr>
            <a:t>Service mix / intensity</a:t>
          </a:r>
          <a:r>
            <a:rPr lang="en-US" sz="1200" b="0" i="0" kern="1200" baseline="0">
              <a:solidFill>
                <a:sysClr val="windowText" lastClr="000000"/>
              </a:solidFill>
              <a:effectLst/>
              <a:latin typeface="+mn-lt"/>
              <a:ea typeface="+mn-ea"/>
              <a:cs typeface="+mn-cs"/>
            </a:rPr>
            <a:t>, as determined by the distribution of services within the benefit category</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Reimbursement trend measures the change in reimbursements but does not account for shifts in the distribution of services. To measure reimbursement trend, the service mix is held constant.</a:t>
          </a:r>
        </a:p>
        <a:p>
          <a:pPr marL="182880">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0" i="0" kern="1200" baseline="0">
              <a:solidFill>
                <a:sysClr val="windowText" lastClr="000000"/>
              </a:solidFill>
              <a:effectLst/>
              <a:latin typeface="+mn-lt"/>
              <a:ea typeface="+mn-ea"/>
              <a:cs typeface="+mn-cs"/>
            </a:rPr>
            <a:t>-- Service mix / intensity trend measures shifts in the underlying distribution of services. It captures how the mix of services within a benefit category changes from one period to the next. Because of changes in service mix / intensity, the average unit cost within a benefit category may increase or decrease from one period to the next even if nothing changes in provider reimbursement per unit.</a:t>
          </a:r>
        </a:p>
        <a:p>
          <a:pPr>
            <a:lnSpc>
              <a:spcPct val="108000"/>
            </a:lnSpc>
          </a:pPr>
          <a:endParaRPr lang="en-US" sz="600" b="0" i="0" kern="1200" baseline="0">
            <a:solidFill>
              <a:sysClr val="windowText" lastClr="000000"/>
            </a:solidFill>
            <a:effectLst/>
            <a:latin typeface="+mn-lt"/>
            <a:ea typeface="+mn-ea"/>
            <a:cs typeface="+mn-cs"/>
          </a:endParaRPr>
        </a:p>
        <a:p>
          <a:pPr marL="182880">
            <a:lnSpc>
              <a:spcPct val="108000"/>
            </a:lnSpc>
          </a:pPr>
          <a:r>
            <a:rPr lang="en-US" sz="1200" b="1" i="1" kern="1200" baseline="0">
              <a:solidFill>
                <a:sysClr val="windowText" lastClr="000000"/>
              </a:solidFill>
              <a:effectLst/>
              <a:latin typeface="+mn-lt"/>
              <a:ea typeface="+mn-ea"/>
              <a:cs typeface="+mn-cs"/>
            </a:rPr>
            <a:t>Note that a simplified illustrative example of the benefit category level estimate is available in the "SvcIntensity_Example" sheet.</a:t>
          </a:r>
        </a:p>
        <a:p>
          <a:pPr>
            <a:lnSpc>
              <a:spcPct val="108000"/>
            </a:lnSpc>
          </a:pPr>
          <a:endParaRPr lang="en-US" sz="1200" b="0" i="0" kern="1200" baseline="0">
            <a:solidFill>
              <a:sysClr val="windowText" lastClr="000000"/>
            </a:solidFill>
            <a:effectLst/>
            <a:latin typeface="+mn-lt"/>
            <a:ea typeface="+mn-ea"/>
            <a:cs typeface="+mn-cs"/>
          </a:endParaRPr>
        </a:p>
        <a:p>
          <a:pPr>
            <a:lnSpc>
              <a:spcPct val="108000"/>
            </a:lnSpc>
          </a:pPr>
          <a:r>
            <a:rPr lang="en-US" sz="1400" b="1" i="0" u="sng" kern="1200" baseline="0">
              <a:solidFill>
                <a:schemeClr val="tx2"/>
              </a:solidFill>
              <a:effectLst/>
              <a:latin typeface="+mn-lt"/>
              <a:ea typeface="+mn-ea"/>
              <a:cs typeface="+mn-cs"/>
            </a:rPr>
            <a:t>3. Comments</a:t>
          </a:r>
        </a:p>
        <a:p>
          <a:pPr marL="182880">
            <a:lnSpc>
              <a:spcPct val="108000"/>
            </a:lnSpc>
          </a:pPr>
          <a:r>
            <a:rPr lang="en-US" sz="1200" b="0" i="0" kern="1200" baseline="0">
              <a:solidFill>
                <a:sysClr val="windowText" lastClr="000000"/>
              </a:solidFill>
              <a:effectLst/>
              <a:latin typeface="+mn-lt"/>
              <a:ea typeface="+mn-ea"/>
              <a:cs typeface="+mn-cs"/>
            </a:rPr>
            <a:t>• Input notes in the yellow cells.</a:t>
          </a:r>
        </a:p>
        <a:p>
          <a:pPr marL="182880">
            <a:lnSpc>
              <a:spcPct val="108000"/>
            </a:lnSpc>
          </a:pPr>
          <a:r>
            <a:rPr lang="en-US" sz="1200" b="0" i="0" kern="1200" baseline="0">
              <a:solidFill>
                <a:sysClr val="windowText" lastClr="000000"/>
              </a:solidFill>
              <a:effectLst/>
              <a:latin typeface="+mn-lt"/>
              <a:ea typeface="+mn-ea"/>
              <a:cs typeface="+mn-cs"/>
            </a:rPr>
            <a:t>• Identify the source of the information provided.</a:t>
          </a:r>
        </a:p>
        <a:p>
          <a:pPr marL="182880">
            <a:lnSpc>
              <a:spcPct val="108000"/>
            </a:lnSpc>
          </a:pPr>
          <a:r>
            <a:rPr lang="en-US" sz="1200" b="0" i="0" kern="1200" baseline="0">
              <a:solidFill>
                <a:sysClr val="windowText" lastClr="000000"/>
              </a:solidFill>
              <a:effectLst/>
              <a:latin typeface="+mn-lt"/>
              <a:ea typeface="+mn-ea"/>
              <a:cs typeface="+mn-cs"/>
            </a:rPr>
            <a:t>• Identify any data engineering or modeling methodology used to adjust or estimate the information provided. </a:t>
          </a:r>
          <a:endParaRPr lang="en-US" sz="1200" i="0">
            <a:solidFill>
              <a:sysClr val="windowText" lastClr="000000"/>
            </a:solidFill>
            <a:effectLst/>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21</xdr:col>
      <xdr:colOff>126174</xdr:colOff>
      <xdr:row>7</xdr:row>
      <xdr:rowOff>259771</xdr:rowOff>
    </xdr:from>
    <xdr:to>
      <xdr:col>22</xdr:col>
      <xdr:colOff>0</xdr:colOff>
      <xdr:row>45</xdr:row>
      <xdr:rowOff>34636</xdr:rowOff>
    </xdr:to>
    <xdr:sp macro="" textlink="">
      <xdr:nvSpPr>
        <xdr:cNvPr id="3" name="Rectangle 1">
          <a:extLst>
            <a:ext uri="{FF2B5EF4-FFF2-40B4-BE49-F238E27FC236}">
              <a16:creationId xmlns:a16="http://schemas.microsoft.com/office/drawing/2014/main" id="{642F26D6-999A-4D17-ABC3-E99C2CB1B0A0}"/>
            </a:ext>
          </a:extLst>
        </xdr:cNvPr>
        <xdr:cNvSpPr/>
      </xdr:nvSpPr>
      <xdr:spPr>
        <a:xfrm>
          <a:off x="27038629" y="2130135"/>
          <a:ext cx="6420098" cy="8607137"/>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indent="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21</xdr:col>
      <xdr:colOff>126174</xdr:colOff>
      <xdr:row>8</xdr:row>
      <xdr:rowOff>259771</xdr:rowOff>
    </xdr:from>
    <xdr:to>
      <xdr:col>22</xdr:col>
      <xdr:colOff>0</xdr:colOff>
      <xdr:row>46</xdr:row>
      <xdr:rowOff>34636</xdr:rowOff>
    </xdr:to>
    <xdr:sp macro="" textlink="">
      <xdr:nvSpPr>
        <xdr:cNvPr id="2" name="Rectangle 1">
          <a:extLst>
            <a:ext uri="{FF2B5EF4-FFF2-40B4-BE49-F238E27FC236}">
              <a16:creationId xmlns:a16="http://schemas.microsoft.com/office/drawing/2014/main" id="{8736D7EC-70F0-4989-B88D-B7CA613BFEAB}"/>
            </a:ext>
          </a:extLst>
        </xdr:cNvPr>
        <xdr:cNvSpPr/>
      </xdr:nvSpPr>
      <xdr:spPr>
        <a:xfrm>
          <a:off x="26824749" y="2155246"/>
          <a:ext cx="6560376" cy="857596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4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provide Washington State experience trend that is normalized for allowable rating factors in the URRT. This information is needed for support of retrospective trend and as a starting point for consideration of prospective trend adjustments.							</a:t>
          </a:r>
        </a:p>
        <a:p>
          <a:pPr lvl="0"/>
          <a:r>
            <a:rPr lang="en-US" sz="1400" b="1" u="sng">
              <a:solidFill>
                <a:schemeClr val="tx2"/>
              </a:solidFill>
              <a:effectLst/>
              <a:latin typeface="+mn-lt"/>
              <a:ea typeface="+mn-ea"/>
              <a:cs typeface="+mn-cs"/>
            </a:rPr>
            <a:t>Table 3.1</a:t>
          </a:r>
        </a:p>
        <a:p>
          <a:pPr marL="365760" lvl="0" indent="-182880">
            <a:lnSpc>
              <a:spcPct val="108000"/>
            </a:lnSpc>
          </a:pPr>
          <a:r>
            <a:rPr lang="en-US" sz="1200" b="0" u="none">
              <a:solidFill>
                <a:sysClr val="windowText" lastClr="000000"/>
              </a:solidFill>
              <a:effectLst/>
              <a:latin typeface="+mn-lt"/>
              <a:ea typeface="+mn-ea"/>
              <a:cs typeface="+mn-cs"/>
            </a:rPr>
            <a:t> a.</a:t>
          </a:r>
          <a:r>
            <a:rPr lang="en-US" sz="1200" b="0" u="none"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Complete the table below using monthly experience, the cells formatted yellow are intended for carrier inputs.</a:t>
          </a:r>
        </a:p>
        <a:p>
          <a:pPr marL="365760" lvl="0" indent="-182880">
            <a:lnSpc>
              <a:spcPct val="108000"/>
            </a:lnSpc>
          </a:pPr>
          <a:r>
            <a:rPr lang="en-US" sz="1200">
              <a:solidFill>
                <a:sysClr val="windowText" lastClr="000000"/>
              </a:solidFill>
              <a:effectLst/>
              <a:latin typeface="+mn-lt"/>
              <a:ea typeface="+mn-ea"/>
              <a:cs typeface="+mn-cs"/>
            </a:rPr>
            <a:t> b.</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High Claims (non-predictive) Column: Enter high-cost claims that are not  predictive of future experience but are not included in HCRP receipts.</a:t>
          </a:r>
        </a:p>
        <a:p>
          <a:pPr marL="365760" lvl="0" indent="-182880">
            <a:lnSpc>
              <a:spcPct val="108000"/>
            </a:lnSpc>
          </a:pPr>
          <a:r>
            <a:rPr lang="en-US" sz="1200">
              <a:solidFill>
                <a:sysClr val="windowText" lastClr="000000"/>
              </a:solidFill>
              <a:effectLst/>
              <a:latin typeface="+mn-lt"/>
              <a:ea typeface="+mn-ea"/>
              <a:cs typeface="+mn-cs"/>
            </a:rPr>
            <a:t> c.</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One-time adjustment for HCRP receipts Column: Enter HCRP receipts from the experience period.</a:t>
          </a:r>
        </a:p>
        <a:p>
          <a:pPr marL="365760" lvl="0" indent="-182880">
            <a:lnSpc>
              <a:spcPct val="108000"/>
            </a:lnSpc>
          </a:pPr>
          <a:r>
            <a:rPr lang="en-US" sz="1200">
              <a:solidFill>
                <a:sysClr val="windowText" lastClr="000000"/>
              </a:solidFill>
              <a:effectLst/>
              <a:latin typeface="+mn-lt"/>
              <a:ea typeface="+mn-ea"/>
              <a:cs typeface="+mn-cs"/>
            </a:rPr>
            <a:t> d.</a:t>
          </a:r>
          <a:r>
            <a:rPr lang="en-US" sz="1200" baseline="0">
              <a:solidFill>
                <a:sysClr val="windowText" lastClr="000000"/>
              </a:solidFill>
              <a:effectLst/>
              <a:latin typeface="+mn-lt"/>
              <a:ea typeface="+mn-ea"/>
              <a:cs typeface="+mn-cs"/>
            </a:rPr>
            <a:t> </a:t>
          </a:r>
          <a:r>
            <a:rPr lang="en-US" sz="1200">
              <a:solidFill>
                <a:sysClr val="windowText" lastClr="000000"/>
              </a:solidFill>
              <a:effectLst/>
              <a:latin typeface="+mn-lt"/>
              <a:ea typeface="+mn-ea"/>
              <a:cs typeface="+mn-cs"/>
            </a:rPr>
            <a:t>Use the Service Area Adjustment to adjust allowed claims for changes in service areas between periods.</a:t>
          </a:r>
        </a:p>
        <a:p>
          <a:pPr marL="365760" lvl="0" indent="-182880">
            <a:lnSpc>
              <a:spcPct val="108000"/>
            </a:lnSpc>
          </a:pPr>
          <a:r>
            <a:rPr lang="en-US" sz="1200">
              <a:solidFill>
                <a:sysClr val="windowText" lastClr="000000"/>
              </a:solidFill>
              <a:effectLst/>
              <a:latin typeface="+mn-lt"/>
              <a:ea typeface="+mn-ea"/>
              <a:cs typeface="+mn-cs"/>
            </a:rPr>
            <a:t> e. Allowable Rating Adjustments Columns: For definitions of these columns, see URR Instructions Section 2.1.3.2, except</a:t>
          </a:r>
          <a:r>
            <a:rPr lang="en-US" sz="1200" baseline="0">
              <a:solidFill>
                <a:sysClr val="windowText" lastClr="000000"/>
              </a:solidFill>
              <a:effectLst/>
              <a:latin typeface="+mn-lt"/>
              <a:ea typeface="+mn-ea"/>
              <a:cs typeface="+mn-cs"/>
            </a:rPr>
            <a:t> t</a:t>
          </a:r>
          <a:r>
            <a:rPr lang="en-US" sz="1200">
              <a:solidFill>
                <a:sysClr val="windowText" lastClr="000000"/>
              </a:solidFill>
              <a:effectLst/>
              <a:latin typeface="+mn-lt"/>
              <a:ea typeface="+mn-ea"/>
              <a:cs typeface="+mn-cs"/>
            </a:rPr>
            <a:t>hat the corresponding change measured in this exhibit is from experience period to experience period (one-year change). Complete the yellow cells in this section of the table. These estimates are used to normalize prior experience periods to the current experience period.</a:t>
          </a:r>
        </a:p>
        <a:p>
          <a:pPr lvl="0"/>
          <a:endParaRPr lang="en-US" sz="120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Table 3.2</a:t>
          </a:r>
        </a:p>
        <a:p>
          <a:pPr marL="182880" lvl="0" indent="0">
            <a:lnSpc>
              <a:spcPct val="108000"/>
            </a:lnSpc>
          </a:pPr>
          <a:r>
            <a:rPr lang="en-US" sz="1200">
              <a:solidFill>
                <a:sysClr val="windowText" lastClr="000000"/>
              </a:solidFill>
              <a:effectLst/>
              <a:latin typeface="+mn-lt"/>
              <a:ea typeface="+mn-ea"/>
              <a:cs typeface="+mn-cs"/>
            </a:rPr>
            <a:t>The totals in Table 3.2 must reconcile to reported experience in the carriers final URRT submissions.</a:t>
          </a:r>
        </a:p>
        <a:p>
          <a:pPr lvl="1"/>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365760" lvl="0" indent="-182880">
            <a:lnSpc>
              <a:spcPct val="108000"/>
            </a:lnSpc>
          </a:pPr>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Use the yellow cells in the Comment Section to provide narrative and clarifications.</a:t>
          </a:r>
        </a:p>
        <a:p>
          <a:pPr marL="365760" lvl="0" indent="-182880">
            <a:lnSpc>
              <a:spcPct val="108000"/>
            </a:lnSpc>
          </a:pPr>
          <a:r>
            <a:rPr lang="en-US" sz="1200" b="0">
              <a:solidFill>
                <a:sysClr val="windowText" lastClr="000000"/>
              </a:solidFill>
              <a:effectLst/>
              <a:latin typeface="+mn-lt"/>
              <a:ea typeface="+mn-ea"/>
              <a:cs typeface="+mn-cs"/>
            </a:rPr>
            <a:t>b.</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select entries in the "One-Time Adjustment for Non-Predictive Claims" column.</a:t>
          </a:r>
        </a:p>
        <a:p>
          <a:pPr marL="365760" lvl="0" indent="-182880">
            <a:lnSpc>
              <a:spcPct val="108000"/>
            </a:lnSpc>
          </a:pPr>
          <a:r>
            <a:rPr lang="en-US" sz="1200" b="0">
              <a:solidFill>
                <a:sysClr val="windowText" lastClr="000000"/>
              </a:solidFill>
              <a:effectLst/>
              <a:latin typeface="+mn-lt"/>
              <a:ea typeface="+mn-ea"/>
              <a:cs typeface="+mn-cs"/>
            </a:rPr>
            <a:t>c.</a:t>
          </a:r>
          <a:r>
            <a:rPr lang="en-US" sz="1200" b="0" baseline="0">
              <a:solidFill>
                <a:sysClr val="windowText" lastClr="000000"/>
              </a:solidFill>
              <a:effectLst/>
              <a:latin typeface="+mn-lt"/>
              <a:ea typeface="+mn-ea"/>
              <a:cs typeface="+mn-cs"/>
            </a:rPr>
            <a:t> </a:t>
          </a:r>
          <a:r>
            <a:rPr lang="en-US" sz="1200" b="0">
              <a:solidFill>
                <a:sysClr val="windowText" lastClr="000000"/>
              </a:solidFill>
              <a:effectLst/>
              <a:latin typeface="+mn-lt"/>
              <a:ea typeface="+mn-ea"/>
              <a:cs typeface="+mn-cs"/>
            </a:rPr>
            <a:t>Describe the methods used to estimate the impact of Allowable Rating Adjustment entries.</a:t>
          </a:r>
        </a:p>
        <a:p>
          <a:pPr marL="365760" lvl="0" indent="-182880">
            <a:lnSpc>
              <a:spcPct val="108000"/>
            </a:lnSpc>
          </a:pPr>
          <a:r>
            <a:rPr lang="en-US" sz="1200" b="0">
              <a:solidFill>
                <a:sysClr val="windowText" lastClr="000000"/>
              </a:solidFill>
              <a:effectLst/>
              <a:latin typeface="+mn-lt"/>
              <a:ea typeface="+mn-ea"/>
              <a:cs typeface="+mn-cs"/>
            </a:rPr>
            <a:t>d. Identify where you provide support for your proposed prospective trend adjustments for      projecting 2024 experience to 2026.</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2</xdr:row>
      <xdr:rowOff>1</xdr:rowOff>
    </xdr:from>
    <xdr:to>
      <xdr:col>10</xdr:col>
      <xdr:colOff>7415893</xdr:colOff>
      <xdr:row>42</xdr:row>
      <xdr:rowOff>95251</xdr:rowOff>
    </xdr:to>
    <xdr:sp macro="" textlink="">
      <xdr:nvSpPr>
        <xdr:cNvPr id="3" name="Rectangle 1">
          <a:extLst>
            <a:ext uri="{FF2B5EF4-FFF2-40B4-BE49-F238E27FC236}">
              <a16:creationId xmlns:a16="http://schemas.microsoft.com/office/drawing/2014/main" id="{23F74051-6C9B-42FD-82A1-C94184570396}"/>
            </a:ext>
          </a:extLst>
        </xdr:cNvPr>
        <xdr:cNvSpPr/>
      </xdr:nvSpPr>
      <xdr:spPr>
        <a:xfrm>
          <a:off x="8232321" y="530680"/>
          <a:ext cx="7415893" cy="8953500"/>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5 Instructions</a:t>
          </a:r>
        </a:p>
        <a:p>
          <a:pPr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the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algn="l">
            <a:lnSpc>
              <a:spcPct val="108000"/>
            </a:lnSpc>
          </a:pPr>
          <a:endParaRPr lang="en-US" sz="1200" i="0" baseline="0">
            <a:solidFill>
              <a:sysClr val="windowText" lastClr="000000"/>
            </a:solidFill>
            <a:effectLst/>
            <a:latin typeface="+mn-lt"/>
            <a:ea typeface="+mn-ea"/>
            <a:cs typeface="+mn-cs"/>
          </a:endParaRPr>
        </a:p>
        <a:p>
          <a:pPr algn="l">
            <a:lnSpc>
              <a:spcPct val="108000"/>
            </a:lnSpc>
          </a:pPr>
          <a:r>
            <a:rPr lang="en-US" sz="1400" b="1" i="0" u="sng" baseline="0">
              <a:solidFill>
                <a:schemeClr val="tx2"/>
              </a:solidFill>
              <a:effectLst/>
              <a:latin typeface="+mn-lt"/>
              <a:ea typeface="+mn-ea"/>
              <a:cs typeface="+mn-cs"/>
            </a:rPr>
            <a:t>Table 1</a:t>
          </a:r>
        </a:p>
        <a:p>
          <a:pPr marL="182880" algn="l">
            <a:lnSpc>
              <a:spcPct val="108000"/>
            </a:lnSpc>
          </a:pPr>
          <a:r>
            <a:rPr lang="en-US" sz="1200" b="1" i="0" u="none" baseline="0">
              <a:solidFill>
                <a:sysClr val="windowText" lastClr="000000"/>
              </a:solidFill>
              <a:effectLst/>
              <a:latin typeface="+mn-lt"/>
              <a:ea typeface="+mn-ea"/>
              <a:cs typeface="+mn-cs"/>
            </a:rPr>
            <a:t>Projected (i.e., Expected) Data</a:t>
          </a:r>
        </a:p>
        <a:p>
          <a:pPr marL="182880" algn="l">
            <a:lnSpc>
              <a:spcPct val="108000"/>
            </a:lnSpc>
          </a:pPr>
          <a:r>
            <a:rPr lang="en-US" sz="1200" i="0" baseline="0">
              <a:solidFill>
                <a:sysClr val="windowText" lastClr="000000"/>
              </a:solidFill>
              <a:effectLst/>
              <a:latin typeface="+mn-lt"/>
              <a:ea typeface="+mn-ea"/>
              <a:cs typeface="+mn-cs"/>
            </a:rPr>
            <a:t>• Each projected amount should relate to rate filing projections.</a:t>
          </a:r>
        </a:p>
        <a:p>
          <a:pPr marL="182880" algn="l">
            <a:lnSpc>
              <a:spcPct val="108000"/>
            </a:lnSpc>
          </a:pPr>
          <a:r>
            <a:rPr lang="en-US" sz="1200" i="0" baseline="0">
              <a:solidFill>
                <a:sysClr val="windowText" lastClr="000000"/>
              </a:solidFill>
              <a:effectLst/>
              <a:latin typeface="+mn-lt"/>
              <a:ea typeface="+mn-ea"/>
              <a:cs typeface="+mn-cs"/>
              <a:sym typeface="Wingdings" panose="05000000000000000000" pitchFamily="2" charset="2"/>
            </a:rPr>
            <a:t> </a:t>
          </a:r>
          <a:r>
            <a:rPr lang="en-US" sz="1200" i="0" baseline="0">
              <a:solidFill>
                <a:sysClr val="windowText" lastClr="000000"/>
              </a:solidFill>
              <a:effectLst/>
              <a:latin typeface="+mn-lt"/>
              <a:ea typeface="+mn-ea"/>
              <a:cs typeface="+mn-cs"/>
            </a:rPr>
            <a:t>Note that if a PROJECTED column reflects "2024 to 2026," enter URRT Worksheet 1 factors from the plan year 2026 rate filing that was based on 2024 experience.</a:t>
          </a:r>
        </a:p>
        <a:p>
          <a:pPr marL="182880" algn="l">
            <a:lnSpc>
              <a:spcPct val="108000"/>
            </a:lnSpc>
          </a:pPr>
          <a:endParaRPr lang="en-US" sz="600" b="1" i="0" u="sng" baseline="0">
            <a:solidFill>
              <a:sysClr val="windowText" lastClr="000000"/>
            </a:solidFill>
            <a:effectLst/>
            <a:latin typeface="+mn-lt"/>
            <a:ea typeface="+mn-ea"/>
            <a:cs typeface="+mn-cs"/>
          </a:endParaRPr>
        </a:p>
        <a:p>
          <a:pPr marL="182880" algn="l">
            <a:lnSpc>
              <a:spcPct val="108000"/>
            </a:lnSpc>
          </a:pPr>
          <a:r>
            <a:rPr lang="en-US" sz="1200" b="1" i="0" u="none" baseline="0">
              <a:solidFill>
                <a:sysClr val="windowText" lastClr="000000"/>
              </a:solidFill>
              <a:effectLst/>
              <a:latin typeface="+mn-lt"/>
              <a:ea typeface="+mn-ea"/>
              <a:cs typeface="+mn-cs"/>
            </a:rPr>
            <a:t>Actual Experience Data</a:t>
          </a:r>
        </a:p>
        <a:p>
          <a:pPr marL="182880" algn="l">
            <a:lnSpc>
              <a:spcPct val="108000"/>
            </a:lnSpc>
          </a:pPr>
          <a:r>
            <a:rPr lang="en-US" sz="1200" i="0" baseline="0">
              <a:solidFill>
                <a:sysClr val="windowText" lastClr="000000"/>
              </a:solidFill>
              <a:effectLst/>
              <a:latin typeface="+mn-lt"/>
              <a:ea typeface="+mn-ea"/>
              <a:cs typeface="+mn-cs"/>
            </a:rPr>
            <a:t>• Actual experience should be reported on a basis comparable to projected results.</a:t>
          </a:r>
        </a:p>
        <a:p>
          <a:pPr marL="182880" algn="l">
            <a:lnSpc>
              <a:spcPct val="108000"/>
            </a:lnSpc>
          </a:pPr>
          <a:r>
            <a:rPr lang="en-US" sz="1200" i="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algn="l">
            <a:lnSpc>
              <a:spcPct val="108000"/>
            </a:lnSpc>
          </a:pPr>
          <a:endParaRPr lang="en-US" sz="1200" b="0" i="0" kern="1200" baseline="0">
            <a:solidFill>
              <a:sysClr val="windowText" lastClr="000000"/>
            </a:solidFill>
            <a:effectLst/>
            <a:latin typeface="+mn-lt"/>
            <a:ea typeface="+mn-ea"/>
            <a:cs typeface="+mn-cs"/>
          </a:endParaRPr>
        </a:p>
        <a:p>
          <a:pPr algn="l">
            <a:lnSpc>
              <a:spcPct val="108000"/>
            </a:lnSpc>
          </a:pPr>
          <a:r>
            <a:rPr lang="en-US" sz="1400" b="1" i="0" u="sng" kern="1200" baseline="0">
              <a:solidFill>
                <a:schemeClr val="tx2"/>
              </a:solidFill>
              <a:effectLst/>
              <a:latin typeface="+mn-lt"/>
              <a:ea typeface="+mn-ea"/>
              <a:cs typeface="+mn-cs"/>
            </a:rPr>
            <a:t>Comments</a:t>
          </a:r>
        </a:p>
        <a:p>
          <a:pPr marL="182880" algn="l">
            <a:lnSpc>
              <a:spcPct val="108000"/>
            </a:lnSpc>
          </a:pPr>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b="1">
            <a:solidFill>
              <a:sysClr val="windowText" lastClr="000000"/>
            </a:solidFill>
          </a:endParaRPr>
        </a:p>
        <a:p>
          <a:pPr marL="182880" algn="l">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Identify Material Differences</a:t>
          </a:r>
          <a:endParaRPr lang="en-US" sz="1200">
            <a:solidFill>
              <a:sysClr val="windowText" lastClr="000000"/>
            </a:solidFill>
          </a:endParaRPr>
        </a:p>
        <a:p>
          <a:pPr marL="182880">
            <a:lnSpc>
              <a:spcPct val="108000"/>
            </a:lnSpc>
          </a:pPr>
          <a:r>
            <a:rPr lang="en-US" sz="1200">
              <a:solidFill>
                <a:sysClr val="windowText" lastClr="000000"/>
              </a:solidFill>
            </a:rPr>
            <a:t>• Clearly describe the magnitude and nature of differences.</a:t>
          </a:r>
        </a:p>
        <a:p>
          <a:pPr marL="182880">
            <a:lnSpc>
              <a:spcPct val="108000"/>
            </a:lnSpc>
          </a:pPr>
          <a:r>
            <a:rPr lang="en-US" sz="1200">
              <a:solidFill>
                <a:sysClr val="windowText" lastClr="000000"/>
              </a:solidFill>
            </a:rPr>
            <a:t>• Indicate whether differences are isolated or part of a broader trend.</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Root Cause Analysis</a:t>
          </a:r>
          <a:endParaRPr lang="en-US" sz="1200">
            <a:solidFill>
              <a:sysClr val="windowText" lastClr="000000"/>
            </a:solidFill>
          </a:endParaRPr>
        </a:p>
        <a:p>
          <a:pPr marL="182880">
            <a:lnSpc>
              <a:spcPct val="108000"/>
            </a:lnSpc>
          </a:pPr>
          <a:r>
            <a:rPr lang="en-US" sz="1200">
              <a:solidFill>
                <a:sysClr val="windowText" lastClr="000000"/>
              </a:solidFill>
            </a:rPr>
            <a:t>• Investigate the key drivers of significant differences in actual-to-expected (A:E) results.</a:t>
          </a:r>
        </a:p>
        <a:p>
          <a:pPr marL="182880">
            <a:lnSpc>
              <a:spcPct val="108000"/>
            </a:lnSpc>
          </a:pPr>
          <a:r>
            <a:rPr lang="en-US" sz="1200">
              <a:solidFill>
                <a:sysClr val="windowText" lastClr="000000"/>
              </a:solidFill>
            </a:rPr>
            <a:t>• Distinguish between internal model issues and external market or environmental influences.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Historical Context &amp; Trend Analysis</a:t>
          </a:r>
          <a:endParaRPr lang="en-US" sz="1200">
            <a:solidFill>
              <a:sysClr val="windowText" lastClr="000000"/>
            </a:solidFill>
          </a:endParaRPr>
        </a:p>
        <a:p>
          <a:pPr marL="182880">
            <a:lnSpc>
              <a:spcPct val="108000"/>
            </a:lnSpc>
          </a:pPr>
          <a:r>
            <a:rPr lang="en-US" sz="1200">
              <a:solidFill>
                <a:sysClr val="windowText" lastClr="000000"/>
              </a:solidFill>
            </a:rPr>
            <a:t>• Compare current A:E results with historical outcomes to determine if the variance is a one-time anomaly or a recurring pattern.</a:t>
          </a:r>
        </a:p>
        <a:p>
          <a:pPr marL="182880">
            <a:lnSpc>
              <a:spcPct val="108000"/>
            </a:lnSpc>
          </a:pPr>
          <a:r>
            <a:rPr lang="en-US" sz="1200">
              <a:solidFill>
                <a:sysClr val="windowText" lastClr="000000"/>
              </a:solidFill>
            </a:rPr>
            <a:t>• Note any changes in underlying assumptions or external conditions since previous evaluations.</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Describe Model Deficiencies</a:t>
          </a:r>
          <a:endParaRPr lang="en-US" sz="1200">
            <a:solidFill>
              <a:sysClr val="windowText" lastClr="000000"/>
            </a:solidFill>
          </a:endParaRPr>
        </a:p>
        <a:p>
          <a:pPr marL="182880">
            <a:lnSpc>
              <a:spcPct val="108000"/>
            </a:lnSpc>
          </a:pPr>
          <a:r>
            <a:rPr lang="en-US" sz="1200">
              <a:solidFill>
                <a:sysClr val="windowText" lastClr="000000"/>
              </a:solidFill>
            </a:rPr>
            <a:t>• For each material difference that indicates a deficiency, explain the identified issue.</a:t>
          </a:r>
        </a:p>
        <a:p>
          <a:pPr marL="182880">
            <a:lnSpc>
              <a:spcPct val="108000"/>
            </a:lnSpc>
          </a:pPr>
          <a:r>
            <a:rPr lang="en-US" sz="1200">
              <a:solidFill>
                <a:sysClr val="windowText" lastClr="000000"/>
              </a:solidFill>
            </a:rPr>
            <a:t>• Summarize the root causes and contributing factors in clear, concise language.</a:t>
          </a:r>
        </a:p>
        <a:p>
          <a:pPr marL="182880">
            <a:lnSpc>
              <a:spcPct val="108000"/>
            </a:lnSpc>
          </a:pPr>
          <a:endParaRPr lang="en-US" sz="600">
            <a:solidFill>
              <a:sysClr val="windowText" lastClr="000000"/>
            </a:solidFill>
          </a:endParaRPr>
        </a:p>
        <a:p>
          <a:pPr marL="182880">
            <a:lnSpc>
              <a:spcPct val="108000"/>
            </a:lnSpc>
          </a:pPr>
          <a:r>
            <a:rPr lang="en-US" sz="1200" b="1">
              <a:solidFill>
                <a:sysClr val="windowText" lastClr="000000"/>
              </a:solidFill>
            </a:rPr>
            <a:t>Document Model Updates</a:t>
          </a:r>
          <a:endParaRPr lang="en-US" sz="1200">
            <a:solidFill>
              <a:sysClr val="windowText" lastClr="000000"/>
            </a:solidFill>
          </a:endParaRPr>
        </a:p>
        <a:p>
          <a:pPr marL="182880">
            <a:lnSpc>
              <a:spcPct val="108000"/>
            </a:lnSpc>
          </a:pPr>
          <a:r>
            <a:rPr lang="en-US" sz="1200">
              <a:solidFill>
                <a:sysClr val="windowText" lastClr="000000"/>
              </a:solidFill>
            </a:rPr>
            <a:t>• Specify how you have updated or plan to update rating models to address each identified issue.</a:t>
          </a:r>
        </a:p>
        <a:p>
          <a:pPr marL="182880">
            <a:lnSpc>
              <a:spcPct val="108000"/>
            </a:lnSpc>
          </a:pPr>
          <a:r>
            <a:rPr lang="en-US" sz="1200">
              <a:solidFill>
                <a:sysClr val="windowText" lastClr="000000"/>
              </a:solidFill>
            </a:rPr>
            <a:t>• Outline any revised assumptions, data sources, or methodologies.</a:t>
          </a:r>
        </a:p>
        <a:p>
          <a:pPr marL="182880">
            <a:lnSpc>
              <a:spcPct val="108000"/>
            </a:lnSpc>
          </a:pPr>
          <a:endParaRPr lang="en-US" sz="600" b="1">
            <a:solidFill>
              <a:sysClr val="windowText" lastClr="000000"/>
            </a:solidFill>
          </a:endParaRPr>
        </a:p>
        <a:p>
          <a:pPr marL="182880">
            <a:lnSpc>
              <a:spcPct val="108000"/>
            </a:lnSpc>
          </a:pPr>
          <a:r>
            <a:rPr lang="en-US" sz="1200" b="1">
              <a:solidFill>
                <a:sysClr val="windowText" lastClr="000000"/>
              </a:solidFill>
            </a:rPr>
            <a:t>Expected Impact &amp; Action Plan</a:t>
          </a:r>
          <a:endParaRPr lang="en-US" sz="1200">
            <a:solidFill>
              <a:sysClr val="windowText" lastClr="000000"/>
            </a:solidFill>
          </a:endParaRPr>
        </a:p>
        <a:p>
          <a:pPr marL="182880">
            <a:lnSpc>
              <a:spcPct val="108000"/>
            </a:lnSpc>
          </a:pPr>
          <a:r>
            <a:rPr lang="en-US" sz="1200">
              <a:solidFill>
                <a:sysClr val="windowText" lastClr="000000"/>
              </a:solidFill>
            </a:rPr>
            <a:t>• Provide a qualitative and/or quantitative estimate of how each proposed change is expected to improve the A:E alignment.</a:t>
          </a:r>
        </a:p>
        <a:p>
          <a:pPr marL="182880">
            <a:lnSpc>
              <a:spcPct val="108000"/>
            </a:lnSpc>
          </a:pPr>
          <a:r>
            <a:rPr lang="en-US" sz="1200">
              <a:solidFill>
                <a:sysClr val="windowText" lastClr="000000"/>
              </a:solidFill>
            </a:rPr>
            <a:t>• Include timelines for implementing changes and for re-evaluating the model’s performance post-implementation.</a:t>
          </a:r>
        </a:p>
        <a:p>
          <a:pPr algn="l">
            <a:lnSpc>
              <a:spcPct val="108000"/>
            </a:lnSpc>
          </a:pPr>
          <a:endParaRPr lang="en-US" sz="1200" b="0" i="0" kern="1200" baseline="0">
            <a:solidFill>
              <a:sysClr val="windowText" lastClr="000000"/>
            </a:solidFill>
            <a:effectLst/>
            <a:latin typeface="+mn-lt"/>
            <a:ea typeface="+mn-ea"/>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122465</xdr:colOff>
      <xdr:row>7</xdr:row>
      <xdr:rowOff>68036</xdr:rowOff>
    </xdr:from>
    <xdr:to>
      <xdr:col>13</xdr:col>
      <xdr:colOff>7878536</xdr:colOff>
      <xdr:row>25</xdr:row>
      <xdr:rowOff>27214</xdr:rowOff>
    </xdr:to>
    <xdr:sp macro="" textlink="">
      <xdr:nvSpPr>
        <xdr:cNvPr id="2" name="Rectangle 1">
          <a:extLst>
            <a:ext uri="{FF2B5EF4-FFF2-40B4-BE49-F238E27FC236}">
              <a16:creationId xmlns:a16="http://schemas.microsoft.com/office/drawing/2014/main" id="{10BF1B3A-01DF-45A0-BDBD-15DFF6BD22B1}"/>
            </a:ext>
          </a:extLst>
        </xdr:cNvPr>
        <xdr:cNvSpPr/>
      </xdr:nvSpPr>
      <xdr:spPr>
        <a:xfrm>
          <a:off x="19431001" y="1768929"/>
          <a:ext cx="8014606" cy="453117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6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projected EHB paid-to-allowed amounts used in pricing over time.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 8.1</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AV Metal Value: Enter the AV Metal Values used to categorize the plan into its metal level. Match the values in each plan year's URRT Worksheet 2, Section I. Plan years are identified in the column headers.</a:t>
          </a:r>
        </a:p>
        <a:p>
          <a:pPr marL="182880" lvl="1"/>
          <a:r>
            <a:rPr lang="en-US" sz="1200" baseline="0">
              <a:solidFill>
                <a:sysClr val="windowText" lastClr="000000"/>
              </a:solidFill>
              <a:effectLst/>
              <a:latin typeface="+mn-lt"/>
              <a:ea typeface="+mn-ea"/>
              <a:cs typeface="+mn-cs"/>
            </a:rPr>
            <a:t>c. AV Pricing Value: Entries should be consistent with the plan's projected EHB paid-to-allowed claims ratio used to develop the AV and Cost Sharing Design factor of each plan year's URRT Worksheet 2, Section 3. Plan years are identified in the column headers.</a:t>
          </a:r>
        </a:p>
        <a:p>
          <a:pPr marL="182880" lvl="1"/>
          <a:r>
            <a:rPr lang="en-US" sz="1200" baseline="0">
              <a:solidFill>
                <a:sysClr val="windowText" lastClr="000000"/>
              </a:solidFill>
              <a:effectLst/>
              <a:latin typeface="+mn-lt"/>
              <a:ea typeface="+mn-ea"/>
              <a:cs typeface="+mn-cs"/>
            </a:rPr>
            <a:t>d. Add and remove rows as needed to capture all plans.</a:t>
          </a:r>
        </a:p>
        <a:p>
          <a:pPr lvl="1"/>
          <a:endParaRPr lang="en-US" sz="1200" baseline="0">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Overall Row</a:t>
          </a:r>
        </a:p>
        <a:p>
          <a:pPr marL="182880" lvl="1"/>
          <a:r>
            <a:rPr lang="en-US" sz="1200" baseline="0">
              <a:solidFill>
                <a:sysClr val="windowText" lastClr="000000"/>
              </a:solidFill>
              <a:effectLst/>
              <a:latin typeface="+mn-lt"/>
              <a:ea typeface="+mn-ea"/>
              <a:cs typeface="+mn-cs"/>
            </a:rPr>
            <a:t>Enter the estimated overall projected amounts for the pool in the plan years identified in the column headers. </a:t>
          </a:r>
        </a:p>
        <a:p>
          <a:pPr lvl="0"/>
          <a:endParaRPr lang="en-US" sz="12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a. Use the yellow cells in the Comments section to provide narrative and clarifications.</a:t>
          </a:r>
        </a:p>
        <a:p>
          <a:pPr marL="182880" lvl="1"/>
          <a:r>
            <a:rPr lang="en-US" sz="1200" b="0">
              <a:solidFill>
                <a:sysClr val="windowText" lastClr="000000"/>
              </a:solidFill>
              <a:effectLst/>
              <a:latin typeface="+mn-lt"/>
              <a:ea typeface="+mn-ea"/>
              <a:cs typeface="+mn-cs"/>
            </a:rPr>
            <a:t>b. Address material patterns in overall AV Pricing Value and AV Metal Value differences over time.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7</xdr:row>
      <xdr:rowOff>1</xdr:rowOff>
    </xdr:from>
    <xdr:to>
      <xdr:col>20</xdr:col>
      <xdr:colOff>0</xdr:colOff>
      <xdr:row>59</xdr:row>
      <xdr:rowOff>95251</xdr:rowOff>
    </xdr:to>
    <xdr:sp macro="" textlink="">
      <xdr:nvSpPr>
        <xdr:cNvPr id="2" name="Rectangle 1">
          <a:extLst>
            <a:ext uri="{FF2B5EF4-FFF2-40B4-BE49-F238E27FC236}">
              <a16:creationId xmlns:a16="http://schemas.microsoft.com/office/drawing/2014/main" id="{4FDB6D6F-C690-45ED-88B6-D64C336354E2}"/>
            </a:ext>
          </a:extLst>
        </xdr:cNvPr>
        <xdr:cNvSpPr/>
      </xdr:nvSpPr>
      <xdr:spPr>
        <a:xfrm>
          <a:off x="15961179" y="1700894"/>
          <a:ext cx="7402285" cy="11307536"/>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7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URRT Worksheet 2, Section 3 rating factors and to assess the model drift by reviewing year-to-year changes and </a:t>
          </a:r>
          <a:r>
            <a:rPr lang="en-US" sz="1200">
              <a:solidFill>
                <a:sysClr val="windowText" lastClr="000000"/>
              </a:solidFill>
              <a:effectLst/>
              <a:latin typeface="+mn-lt"/>
              <a:ea typeface="+mn-ea"/>
              <a:cs typeface="+mn-cs"/>
            </a:rPr>
            <a:t>actual</a:t>
          </a:r>
          <a:r>
            <a:rPr lang="en-US" sz="1200" baseline="0">
              <a:solidFill>
                <a:sysClr val="windowText" lastClr="000000"/>
              </a:solidFill>
              <a:effectLst/>
              <a:latin typeface="+mn-lt"/>
              <a:ea typeface="+mn-ea"/>
              <a:cs typeface="+mn-cs"/>
            </a:rPr>
            <a:t>-to-expected comparisons.</a:t>
          </a: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Except where metal levels are indicated for certain paid-to-allowed ratios, amounts should reflect best estimates at the overall pool level (i.e., not the plan level). </a:t>
          </a:r>
        </a:p>
        <a:p>
          <a:pPr marL="182880" lvl="1"/>
          <a:r>
            <a:rPr lang="en-US" sz="1200" baseline="0">
              <a:solidFill>
                <a:sysClr val="windowText" lastClr="000000"/>
              </a:solidFill>
              <a:effectLst/>
              <a:latin typeface="+mn-lt"/>
              <a:ea typeface="+mn-ea"/>
              <a:cs typeface="+mn-cs"/>
            </a:rPr>
            <a:t>c. </a:t>
          </a:r>
          <a:r>
            <a:rPr lang="en-US" sz="1200" b="1" baseline="0">
              <a:solidFill>
                <a:sysClr val="windowText" lastClr="000000"/>
              </a:solidFill>
              <a:effectLst/>
              <a:latin typeface="+mn-lt"/>
              <a:ea typeface="+mn-ea"/>
              <a:cs typeface="+mn-cs"/>
            </a:rPr>
            <a:t>Projected (Expected) Results:</a:t>
          </a:r>
        </a:p>
        <a:p>
          <a:pPr marL="365760" lvl="2"/>
          <a:r>
            <a:rPr lang="en-US" sz="1200" baseline="0">
              <a:solidFill>
                <a:sysClr val="windowText" lastClr="000000"/>
              </a:solidFill>
              <a:effectLst/>
              <a:latin typeface="+mn-lt"/>
              <a:ea typeface="+mn-ea"/>
              <a:cs typeface="+mn-cs"/>
            </a:rPr>
            <a:t>• All expected results should be based on the same assumptions, models, and methodologies used in URRT Worksheet 2, Section 3 of the corresponding projection year's rate filing.</a:t>
          </a:r>
        </a:p>
        <a:p>
          <a:pPr marL="365760" lvl="2"/>
          <a:r>
            <a:rPr lang="en-US" sz="1200" baseline="0">
              <a:solidFill>
                <a:sysClr val="windowText" lastClr="000000"/>
              </a:solidFill>
              <a:effectLst/>
              <a:latin typeface="+mn-lt"/>
              <a:ea typeface="+mn-ea"/>
              <a:cs typeface="+mn-cs"/>
            </a:rPr>
            <a:t>• In Comments, explain how you converted the basis from plan-level to overall pool-level (or metal-level, as applicable).</a:t>
          </a:r>
        </a:p>
        <a:p>
          <a:pPr marL="182880" lvl="1"/>
          <a:r>
            <a:rPr lang="en-US" sz="1200" baseline="0">
              <a:solidFill>
                <a:sysClr val="windowText" lastClr="000000"/>
              </a:solidFill>
              <a:effectLst/>
              <a:latin typeface="+mn-lt"/>
              <a:ea typeface="+mn-ea"/>
              <a:cs typeface="+mn-cs"/>
            </a:rPr>
            <a:t>d. </a:t>
          </a:r>
          <a:r>
            <a:rPr lang="en-US" sz="1200" b="1" baseline="0">
              <a:solidFill>
                <a:sysClr val="windowText" lastClr="000000"/>
              </a:solidFill>
              <a:effectLst/>
              <a:latin typeface="+mn-lt"/>
              <a:ea typeface="+mn-ea"/>
              <a:cs typeface="+mn-cs"/>
            </a:rPr>
            <a:t>Actual Experience:</a:t>
          </a:r>
        </a:p>
        <a:p>
          <a:pPr marL="365760" lvl="2"/>
          <a:r>
            <a:rPr lang="en-US" sz="1200" baseline="0">
              <a:solidFill>
                <a:sysClr val="windowText" lastClr="000000"/>
              </a:solidFill>
              <a:effectLst/>
              <a:latin typeface="+mn-lt"/>
              <a:ea typeface="+mn-ea"/>
              <a:cs typeface="+mn-cs"/>
            </a:rPr>
            <a:t>• Actual experience should be reported on a comparable basis to the expected results.</a:t>
          </a:r>
        </a:p>
        <a:p>
          <a:pPr marL="365760" lvl="2"/>
          <a:r>
            <a:rPr lang="en-US" sz="1200" baseline="0">
              <a:solidFill>
                <a:sysClr val="windowText" lastClr="000000"/>
              </a:solidFill>
              <a:effectLst/>
              <a:latin typeface="+mn-lt"/>
              <a:ea typeface="+mn-ea"/>
              <a:cs typeface="+mn-cs"/>
            </a:rPr>
            <a:t>• If the actual experience reflects differences in underlying rating variables or data segments, normalize the experience where possible to align with the assumptions in the rate filing.</a:t>
          </a:r>
        </a:p>
        <a:p>
          <a:pPr marL="365760" lvl="2"/>
          <a:r>
            <a:rPr lang="en-US" sz="1200" baseline="0">
              <a:solidFill>
                <a:sysClr val="windowText" lastClr="000000"/>
              </a:solidFill>
              <a:effectLst/>
              <a:latin typeface="+mn-lt"/>
              <a:ea typeface="+mn-ea"/>
              <a:cs typeface="+mn-cs"/>
            </a:rPr>
            <a:t>• Highlight any remaining discrepancies or deviations (e.g., changes in risk mix, new market segments) in the Comments section.</a:t>
          </a:r>
        </a:p>
        <a:p>
          <a:pPr marL="182880" lvl="1"/>
          <a:r>
            <a:rPr lang="en-US" sz="1200" baseline="0">
              <a:solidFill>
                <a:sysClr val="windowText" lastClr="000000"/>
              </a:solidFill>
              <a:effectLst/>
              <a:latin typeface="+mn-lt"/>
              <a:ea typeface="+mn-ea"/>
              <a:cs typeface="+mn-cs"/>
            </a:rPr>
            <a:t>e.  </a:t>
          </a:r>
          <a:r>
            <a:rPr lang="en-US" sz="1200" b="1" baseline="0">
              <a:solidFill>
                <a:sysClr val="windowText" lastClr="000000"/>
              </a:solidFill>
              <a:effectLst/>
              <a:latin typeface="+mn-lt"/>
              <a:ea typeface="+mn-ea"/>
              <a:cs typeface="+mn-cs"/>
            </a:rPr>
            <a:t>Definitions:</a:t>
          </a:r>
        </a:p>
        <a:p>
          <a:pPr marL="365760" lvl="2"/>
          <a:r>
            <a:rPr lang="en-US" sz="1200" baseline="0">
              <a:solidFill>
                <a:sysClr val="windowText" lastClr="000000"/>
              </a:solidFill>
              <a:effectLst/>
              <a:latin typeface="+mn-lt"/>
              <a:ea typeface="+mn-ea"/>
              <a:cs typeface="+mn-cs"/>
            </a:rPr>
            <a:t>• Paid-to-Allowed Ratio (All, Unadjusted): Enter the overall ratio of (completed incurred claims) versus (completed allowed claims) for the entire pool, including all EHBs and non-EHBs. </a:t>
          </a:r>
        </a:p>
        <a:p>
          <a:pPr marL="365760" lvl="2"/>
          <a:r>
            <a:rPr lang="en-US" sz="1200" baseline="0">
              <a:solidFill>
                <a:sysClr val="windowText" lastClr="000000"/>
              </a:solidFill>
              <a:effectLst/>
              <a:latin typeface="+mn-lt"/>
              <a:ea typeface="+mn-ea"/>
              <a:cs typeface="+mn-cs"/>
              <a:sym typeface="Wingdings" panose="05000000000000000000" pitchFamily="2" charset="2"/>
            </a:rPr>
            <a:t> Paid-to-Allowed Ratio (Metal level, Unadjusted): Enter the overall ratio of (completed incurred claims) versus (completed allowed claims) for each indicated metal level, including all EHBs and non-EHBs.</a:t>
          </a:r>
          <a:endParaRPr lang="en-US" sz="1200" baseline="0">
            <a:solidFill>
              <a:sysClr val="windowText" lastClr="000000"/>
            </a:solidFill>
            <a:effectLst/>
            <a:latin typeface="+mn-lt"/>
            <a:ea typeface="+mn-ea"/>
            <a:cs typeface="+mn-cs"/>
          </a:endParaRPr>
        </a:p>
        <a:p>
          <a:pPr marL="365760" lvl="2"/>
          <a:r>
            <a:rPr lang="en-US" sz="1200" baseline="0">
              <a:solidFill>
                <a:sysClr val="windowText" lastClr="000000"/>
              </a:solidFill>
              <a:effectLst/>
              <a:latin typeface="+mn-lt"/>
              <a:ea typeface="+mn-ea"/>
              <a:cs typeface="+mn-cs"/>
            </a:rPr>
            <a:t>• The AV and Cost Sharing Design of Plan Development Components section lists components of the AV and Cost Sharing Design of Plan factor from URRT Worksheet 2, Section 3. See the rate filing checklist for additional details.</a:t>
          </a:r>
        </a:p>
        <a:p>
          <a:pPr marL="365760" lvl="2"/>
          <a:r>
            <a:rPr lang="en-US" sz="1200" baseline="0">
              <a:solidFill>
                <a:sysClr val="windowText" lastClr="000000"/>
              </a:solidFill>
              <a:effectLst/>
              <a:latin typeface="+mn-lt"/>
              <a:ea typeface="+mn-ea"/>
              <a:cs typeface="+mn-cs"/>
            </a:rPr>
            <a:t>• AV Pricing Value: Enter the overall paid-to-allowed ratio for EHBs only.</a:t>
          </a:r>
        </a:p>
        <a:p>
          <a:pPr marL="365760" lvl="2"/>
          <a:r>
            <a:rPr lang="en-US" sz="1200">
              <a:solidFill>
                <a:sysClr val="windowText" lastClr="000000"/>
              </a:solidFill>
              <a:effectLst/>
              <a:latin typeface="+mn-lt"/>
              <a:ea typeface="+mn-ea"/>
              <a:cs typeface="+mn-cs"/>
            </a:rPr>
            <a:t>• CSR Silver Load: This</a:t>
          </a:r>
          <a:r>
            <a:rPr lang="en-US" sz="1200" baseline="0">
              <a:solidFill>
                <a:sysClr val="windowText" lastClr="000000"/>
              </a:solidFill>
              <a:effectLst/>
              <a:latin typeface="+mn-lt"/>
              <a:ea typeface="+mn-ea"/>
              <a:cs typeface="+mn-cs"/>
            </a:rPr>
            <a:t> factor only applies to individual exchange silver plans, but the pool-level impact should be entered in this row in this exhibit.</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a:p>
          <a:pPr marL="182880" lvl="1"/>
          <a:r>
            <a:rPr lang="en-US" sz="1100">
              <a:solidFill>
                <a:sysClr val="windowText" lastClr="000000"/>
              </a:solidFill>
              <a:effectLst/>
              <a:latin typeface="+mn-lt"/>
              <a:ea typeface="+mn-ea"/>
              <a:cs typeface="+mn-cs"/>
            </a:rPr>
            <a:t>If you observe any significant discrepancy between actual and expected results, provide</a:t>
          </a:r>
          <a:r>
            <a:rPr lang="en-US" sz="1100" baseline="0">
              <a:solidFill>
                <a:sysClr val="windowText" lastClr="000000"/>
              </a:solidFill>
              <a:effectLst/>
              <a:latin typeface="+mn-lt"/>
              <a:ea typeface="+mn-ea"/>
              <a:cs typeface="+mn-cs"/>
            </a:rPr>
            <a:t> the following information in the Comments section. Otherwise, identify the external document and section that includes the following information.</a:t>
          </a:r>
          <a:endParaRPr lang="en-US" sz="1200">
            <a:solidFill>
              <a:sysClr val="windowText" lastClr="000000"/>
            </a:solidFill>
            <a:effectLst/>
          </a:endParaRPr>
        </a:p>
        <a:p>
          <a:pPr marL="182880" lvl="1"/>
          <a:endParaRPr lang="en-US" sz="600" b="1">
            <a:solidFill>
              <a:sysClr val="windowText" lastClr="000000"/>
            </a:solidFill>
            <a:effectLst/>
            <a:latin typeface="+mn-lt"/>
            <a:ea typeface="+mn-ea"/>
            <a:cs typeface="+mn-cs"/>
          </a:endParaRPr>
        </a:p>
        <a:p>
          <a:pPr marL="182880" lvl="1"/>
          <a:r>
            <a:rPr lang="en-US" sz="1100" b="1">
              <a:solidFill>
                <a:sysClr val="windowText" lastClr="000000"/>
              </a:solidFill>
              <a:effectLst/>
              <a:latin typeface="+mn-lt"/>
              <a:ea typeface="+mn-ea"/>
              <a:cs typeface="+mn-cs"/>
            </a:rPr>
            <a:t>Identify Material Differences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Clearly describe the magnitude and nature of the discrepancy.</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Indicate whether the difference is isolated or part of a broader trend.</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Root Cause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Investigate the key drivers of significant differences in actual-to-expected (A:E) results.</a:t>
          </a:r>
          <a:endParaRPr lang="en-US" sz="1200">
            <a:solidFill>
              <a:sysClr val="windowText" lastClr="000000"/>
            </a:solidFill>
            <a:effectLst/>
          </a:endParaRPr>
        </a:p>
        <a:p>
          <a:pPr marL="182880" marR="0" lvl="2"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 Distinguish between internal model issues and external market or environmental influences.</a:t>
          </a:r>
          <a:endParaRPr lang="en-US" sz="1200">
            <a:effectLst/>
          </a:endParaRP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Historical Context &amp; Trend Analysis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Compare current A/E results with historical outcomes to determine if the variance is a one-time anomaly or a recurring pattern.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Note any changes in underlying assumptions or external conditions since previous evaluations.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Describe Model Deficiencies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For each material difference that indicates a deficiency, explain the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Summarize the root cause and contributing factors in clear, concise language.</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Document Model Updates</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Specify how you have updated or plan to update the model to address each identified issue.</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Outline any modifications to assumptions, data sources, or methodologies.</a:t>
          </a:r>
        </a:p>
        <a:p>
          <a:pPr marL="182880" lvl="2"/>
          <a:endParaRPr lang="en-US" sz="600">
            <a:solidFill>
              <a:sysClr val="windowText" lastClr="000000"/>
            </a:solidFill>
            <a:effectLst/>
          </a:endParaRPr>
        </a:p>
        <a:p>
          <a:pPr marL="182880" lvl="1"/>
          <a:r>
            <a:rPr lang="en-US" sz="1100" b="1">
              <a:solidFill>
                <a:sysClr val="windowText" lastClr="000000"/>
              </a:solidFill>
              <a:effectLst/>
              <a:latin typeface="+mn-lt"/>
              <a:ea typeface="+mn-ea"/>
              <a:cs typeface="+mn-cs"/>
            </a:rPr>
            <a:t>Expected Impact &amp; Action Plan</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Provide a qualitative or quantitative estimate of how each proposed change is expected to improve the A/E alignment.</a:t>
          </a:r>
          <a:endParaRPr lang="en-US" sz="1200">
            <a:solidFill>
              <a:sysClr val="windowText" lastClr="000000"/>
            </a:solidFill>
            <a:effectLst/>
          </a:endParaRPr>
        </a:p>
        <a:p>
          <a:pPr marL="182880" lvl="2"/>
          <a:r>
            <a:rPr lang="en-US" sz="1100">
              <a:solidFill>
                <a:sysClr val="windowText" lastClr="000000"/>
              </a:solidFill>
              <a:effectLst/>
              <a:latin typeface="+mn-lt"/>
              <a:ea typeface="+mn-ea"/>
              <a:cs typeface="+mn-cs"/>
            </a:rPr>
            <a:t>• Include timelines for implementing these changes and for re-evaluating the model’s performance post-implementation.</a:t>
          </a:r>
          <a:endParaRPr lang="en-US" sz="1200">
            <a:solidFill>
              <a:sysClr val="windowText" lastClr="000000"/>
            </a:solidFill>
            <a:effectLst/>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6</xdr:row>
      <xdr:rowOff>0</xdr:rowOff>
    </xdr:from>
    <xdr:to>
      <xdr:col>19</xdr:col>
      <xdr:colOff>615724</xdr:colOff>
      <xdr:row>25</xdr:row>
      <xdr:rowOff>0</xdr:rowOff>
    </xdr:to>
    <xdr:sp macro="" textlink="">
      <xdr:nvSpPr>
        <xdr:cNvPr id="2" name="Rectangle 1">
          <a:extLst>
            <a:ext uri="{FF2B5EF4-FFF2-40B4-BE49-F238E27FC236}">
              <a16:creationId xmlns:a16="http://schemas.microsoft.com/office/drawing/2014/main" id="{1ABB17A4-DB47-4A93-A3EF-CB8EC9F95C2C}"/>
            </a:ext>
          </a:extLst>
        </xdr:cNvPr>
        <xdr:cNvSpPr/>
      </xdr:nvSpPr>
      <xdr:spPr>
        <a:xfrm>
          <a:off x="17502188" y="1476375"/>
          <a:ext cx="7402286" cy="4583906"/>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8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Cost-Share Reduction (CSR) and Advance Premium Tax Credit (APTC) experience.</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 except the entries in the 'CSR Silver Load (Projected)' column which should reflect the PY2024 projection.</a:t>
          </a:r>
        </a:p>
        <a:p>
          <a:pPr marL="182880" lvl="1"/>
          <a:r>
            <a:rPr lang="en-US" sz="1200" baseline="0">
              <a:solidFill>
                <a:sysClr val="windowText" lastClr="000000"/>
              </a:solidFill>
              <a:effectLst/>
              <a:latin typeface="+mn-lt"/>
              <a:ea typeface="+mn-ea"/>
              <a:cs typeface="+mn-cs"/>
            </a:rPr>
            <a:t>c. Include a row for each Plan + CSR Plan Variant type in the table. Add more rows to the table as needed so each Plan + CSR Plan Variant type with PY2024 experience is listed.</a:t>
          </a:r>
        </a:p>
        <a:p>
          <a:pPr marL="182880" lvl="1"/>
          <a:r>
            <a:rPr lang="en-US" sz="1200" baseline="0">
              <a:solidFill>
                <a:sysClr val="windowText" lastClr="000000"/>
              </a:solidFill>
              <a:effectLst/>
              <a:latin typeface="+mn-lt"/>
              <a:ea typeface="+mn-ea"/>
              <a:cs typeface="+mn-cs"/>
            </a:rPr>
            <a:t>d. Ensure plan and aggregate experience reconcile with URRT Worksheet 2, Section 2. Otherwise, explain the discrepancy in the Comment section.</a:t>
          </a:r>
        </a:p>
        <a:p>
          <a:pPr marL="182880" lvl="1"/>
          <a:r>
            <a:rPr lang="en-US" sz="1200" baseline="0">
              <a:solidFill>
                <a:sysClr val="windowText" lastClr="000000"/>
              </a:solidFill>
              <a:effectLst/>
              <a:latin typeface="+mn-lt"/>
              <a:ea typeface="+mn-ea"/>
              <a:cs typeface="+mn-cs"/>
            </a:rPr>
            <a:t>e. Enter the total CSR claims that the federal government would be responsible for if CSRs were funded in the CSR Paid Claims column. If the amounts entered are estimates, use your best estimate and describe the data, assumptions, models, and methodologies used in the Comment section.</a:t>
          </a:r>
        </a:p>
        <a:p>
          <a:pPr marL="182880" lvl="1"/>
          <a:r>
            <a:rPr lang="en-US" sz="1200" baseline="0">
              <a:solidFill>
                <a:sysClr val="windowText" lastClr="000000"/>
              </a:solidFill>
              <a:effectLst/>
              <a:latin typeface="+mn-lt"/>
              <a:ea typeface="+mn-ea"/>
              <a:cs typeface="+mn-cs"/>
            </a:rPr>
            <a:t>f. Enter the total premium the company receives via APTC payments.</a:t>
          </a:r>
        </a:p>
        <a:p>
          <a:pPr marL="182880" lvl="1"/>
          <a:r>
            <a:rPr lang="en-US" sz="1200" baseline="0">
              <a:solidFill>
                <a:sysClr val="windowText" lastClr="000000"/>
              </a:solidFill>
              <a:effectLst/>
              <a:latin typeface="+mn-lt"/>
              <a:ea typeface="+mn-ea"/>
              <a:cs typeface="+mn-cs"/>
            </a:rPr>
            <a:t>g. Add or remove rows from table to capture all plans.</a:t>
          </a:r>
        </a:p>
        <a:p>
          <a:pPr lvl="0"/>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 Section to provide narrative and clarifications.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0</xdr:colOff>
      <xdr:row>8</xdr:row>
      <xdr:rowOff>0</xdr:rowOff>
    </xdr:from>
    <xdr:to>
      <xdr:col>14</xdr:col>
      <xdr:colOff>0</xdr:colOff>
      <xdr:row>32</xdr:row>
      <xdr:rowOff>142875</xdr:rowOff>
    </xdr:to>
    <xdr:sp macro="" textlink="">
      <xdr:nvSpPr>
        <xdr:cNvPr id="2" name="Rectangle 1">
          <a:extLst>
            <a:ext uri="{FF2B5EF4-FFF2-40B4-BE49-F238E27FC236}">
              <a16:creationId xmlns:a16="http://schemas.microsoft.com/office/drawing/2014/main" id="{5C9EDAC8-9244-40CA-B90D-69B4CDE55D7B}"/>
            </a:ext>
          </a:extLst>
        </xdr:cNvPr>
        <xdr:cNvSpPr/>
      </xdr:nvSpPr>
      <xdr:spPr>
        <a:xfrm>
          <a:off x="15466219" y="1857375"/>
          <a:ext cx="8322469" cy="5286375"/>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9 Instructions</a:t>
          </a:r>
        </a:p>
        <a:p>
          <a:r>
            <a:rPr lang="en-US" sz="1400" b="1" u="sng">
              <a:solidFill>
                <a:schemeClr val="tx2"/>
              </a:solidFill>
              <a:effectLst/>
              <a:latin typeface="+mn-lt"/>
              <a:ea typeface="+mn-ea"/>
              <a:cs typeface="+mn-cs"/>
            </a:rPr>
            <a:t>Purpose</a:t>
          </a:r>
        </a:p>
        <a:p>
          <a:pPr marL="182880">
            <a:lnSpc>
              <a:spcPct val="108000"/>
            </a:lnSpc>
          </a:pPr>
          <a:r>
            <a:rPr lang="en-US" sz="1200">
              <a:solidFill>
                <a:sysClr val="windowText" lastClr="000000"/>
              </a:solidFill>
              <a:effectLst/>
              <a:latin typeface="+mn-lt"/>
              <a:ea typeface="+mn-ea"/>
              <a:cs typeface="+mn-cs"/>
            </a:rPr>
            <a:t>The purpose of this template is to collect information about</a:t>
          </a:r>
          <a:r>
            <a:rPr lang="en-US" sz="1200" baseline="0">
              <a:solidFill>
                <a:sysClr val="windowText" lastClr="000000"/>
              </a:solidFill>
              <a:effectLst/>
              <a:latin typeface="+mn-lt"/>
              <a:ea typeface="+mn-ea"/>
              <a:cs typeface="+mn-cs"/>
            </a:rPr>
            <a:t> AV metal value and EHB paid-to-allowed amounts (i.e., AV Pricing Values).</a:t>
          </a:r>
        </a:p>
        <a:p>
          <a:pPr>
            <a:lnSpc>
              <a:spcPct val="108000"/>
            </a:lnSpc>
          </a:pPr>
          <a:r>
            <a:rPr lang="en-US" sz="1200">
              <a:solidFill>
                <a:sysClr val="windowText" lastClr="000000"/>
              </a:solidFill>
              <a:effectLst/>
              <a:latin typeface="+mn-lt"/>
              <a:ea typeface="+mn-ea"/>
              <a:cs typeface="+mn-cs"/>
            </a:rPr>
            <a:t>				</a:t>
          </a:r>
        </a:p>
        <a:p>
          <a:pPr lvl="0"/>
          <a:r>
            <a:rPr lang="en-US" sz="1400" b="1" u="sng">
              <a:solidFill>
                <a:schemeClr val="tx2"/>
              </a:solidFill>
              <a:effectLst/>
              <a:latin typeface="+mn-lt"/>
              <a:ea typeface="+mn-ea"/>
              <a:cs typeface="+mn-cs"/>
            </a:rPr>
            <a:t>Table</a:t>
          </a:r>
        </a:p>
        <a:p>
          <a:pPr marL="182880" lvl="1"/>
          <a:r>
            <a:rPr lang="en-US" sz="1200" b="0" u="none">
              <a:solidFill>
                <a:sysClr val="windowText" lastClr="000000"/>
              </a:solidFill>
              <a:effectLst/>
              <a:latin typeface="+mn-lt"/>
              <a:ea typeface="+mn-ea"/>
              <a:cs typeface="+mn-cs"/>
            </a:rPr>
            <a:t>a.</a:t>
          </a:r>
          <a:r>
            <a:rPr lang="en-US" sz="1200" b="0" u="none" baseline="0">
              <a:solidFill>
                <a:sysClr val="windowText" lastClr="000000"/>
              </a:solidFill>
              <a:effectLst/>
              <a:latin typeface="+mn-lt"/>
              <a:ea typeface="+mn-ea"/>
              <a:cs typeface="+mn-cs"/>
            </a:rPr>
            <a:t> Enter information in the yellow cells. Other cells are either calculated or do not take user inputs.</a:t>
          </a:r>
        </a:p>
        <a:p>
          <a:pPr marL="182880" lvl="1"/>
          <a:r>
            <a:rPr lang="en-US" sz="1200">
              <a:solidFill>
                <a:sysClr val="windowText" lastClr="000000"/>
              </a:solidFill>
              <a:effectLst/>
              <a:latin typeface="+mn-lt"/>
              <a:ea typeface="+mn-ea"/>
              <a:cs typeface="+mn-cs"/>
            </a:rPr>
            <a:t>b.</a:t>
          </a:r>
          <a:r>
            <a:rPr lang="en-US" sz="1200" baseline="0">
              <a:solidFill>
                <a:sysClr val="windowText" lastClr="000000"/>
              </a:solidFill>
              <a:effectLst/>
              <a:latin typeface="+mn-lt"/>
              <a:ea typeface="+mn-ea"/>
              <a:cs typeface="+mn-cs"/>
            </a:rPr>
            <a:t> All entries should be consistent with URRT information from the PY2026 rate filing.</a:t>
          </a:r>
        </a:p>
        <a:p>
          <a:pPr marL="182880" lvl="1"/>
          <a:r>
            <a:rPr lang="en-US" sz="1200" baseline="0">
              <a:solidFill>
                <a:sysClr val="windowText" lastClr="000000"/>
              </a:solidFill>
              <a:effectLst/>
              <a:latin typeface="+mn-lt"/>
              <a:ea typeface="+mn-ea"/>
              <a:cs typeface="+mn-cs"/>
            </a:rPr>
            <a:t>c. Include a row for each Plan. Add more rows to the table as needed so each Plan with PY2024 experience is listed.</a:t>
          </a:r>
        </a:p>
        <a:p>
          <a:pPr marL="182880" lvl="1"/>
          <a:r>
            <a:rPr lang="en-US" sz="1200" baseline="0">
              <a:solidFill>
                <a:sysClr val="windowText" lastClr="000000"/>
              </a:solidFill>
              <a:effectLst/>
              <a:latin typeface="+mn-lt"/>
              <a:ea typeface="+mn-ea"/>
              <a:cs typeface="+mn-cs"/>
            </a:rPr>
            <a:t>d. Requesting Expanded AV Pricing Value Range: Select "Yes" if you are requesting a ±3% AV Pricing Value range; see rate filing checklist item 11(a) and WAC 284-43-6810(3). Otherwise, select "No."</a:t>
          </a:r>
        </a:p>
        <a:p>
          <a:pPr marL="182880" lvl="1"/>
          <a:r>
            <a:rPr lang="en-US" sz="1200" baseline="0">
              <a:solidFill>
                <a:sysClr val="windowText" lastClr="000000"/>
              </a:solidFill>
              <a:effectLst/>
              <a:latin typeface="+mn-lt"/>
              <a:ea typeface="+mn-ea"/>
              <a:cs typeface="+mn-cs"/>
            </a:rPr>
            <a:t>e. AV Metal Value: Enter the AV Metal Value used to categorize the plan into its metal level. Match the value in URRT Worksheet 2, Section I.</a:t>
          </a:r>
        </a:p>
        <a:p>
          <a:pPr marL="182880" lvl="1"/>
          <a:r>
            <a:rPr lang="en-US" sz="1200" baseline="0">
              <a:solidFill>
                <a:sysClr val="windowText" lastClr="000000"/>
              </a:solidFill>
              <a:effectLst/>
              <a:latin typeface="+mn-lt"/>
              <a:ea typeface="+mn-ea"/>
              <a:cs typeface="+mn-cs"/>
            </a:rPr>
            <a:t>f. AV Pricing Value: Enter the plan's projected EHB paid-to-allowed claims ratio used to develop the AV and Cost Sharing Design of Plan factor for URRT Worksheet 2, Section 3. This value must be within 2% of the plan's AV Metal Value, or if the plan meets certain criteria (see checklist item 11a and WAC 284-43-6810(3)), the value must be within 3% of the plan's AV Metal Value.</a:t>
          </a:r>
        </a:p>
        <a:p>
          <a:pPr marL="182880" lvl="1"/>
          <a:r>
            <a:rPr lang="en-US" sz="1200" baseline="0">
              <a:solidFill>
                <a:sysClr val="windowText" lastClr="000000"/>
              </a:solidFill>
              <a:effectLst/>
              <a:latin typeface="+mn-lt"/>
              <a:ea typeface="+mn-ea"/>
              <a:cs typeface="+mn-cs"/>
            </a:rPr>
            <a:t>g. Induced Demand Factor (IDF): Enter the IDF factor that is consistent with IDF used in the risk adjustment transfer formula for the metal level.</a:t>
          </a:r>
        </a:p>
        <a:p>
          <a:pPr marL="182880" lvl="1"/>
          <a:r>
            <a:rPr lang="en-US" sz="1200" baseline="0">
              <a:solidFill>
                <a:sysClr val="windowText" lastClr="000000"/>
              </a:solidFill>
              <a:effectLst/>
              <a:latin typeface="+mn-lt"/>
              <a:ea typeface="+mn-ea"/>
              <a:cs typeface="+mn-cs"/>
            </a:rPr>
            <a:t>h. CSR Silver Load: Enter the CSR silver load. This should be 1.435 per new rule.</a:t>
          </a:r>
        </a:p>
        <a:p>
          <a:pPr marL="182880" lvl="1"/>
          <a:endParaRPr lang="en-US" sz="600" baseline="0">
            <a:solidFill>
              <a:sysClr val="windowText" lastClr="000000"/>
            </a:solidFill>
            <a:effectLst/>
            <a:latin typeface="+mn-lt"/>
            <a:ea typeface="+mn-ea"/>
            <a:cs typeface="+mn-cs"/>
          </a:endParaRPr>
        </a:p>
        <a:p>
          <a:pPr marL="182880" lvl="1"/>
          <a:r>
            <a:rPr lang="en-US" sz="1200" baseline="0">
              <a:solidFill>
                <a:sysClr val="windowText" lastClr="000000"/>
              </a:solidFill>
              <a:effectLst/>
              <a:latin typeface="+mn-lt"/>
              <a:ea typeface="+mn-ea"/>
              <a:cs typeface="+mn-cs"/>
            </a:rPr>
            <a:t>Note: "Check" cells are conditionally formatted, they will turn red if entered values do not meet constraints. See the new rule for constraint details.</a:t>
          </a:r>
        </a:p>
        <a:p>
          <a:pPr marL="182880" lvl="1"/>
          <a:r>
            <a:rPr lang="en-US" sz="1200" baseline="0">
              <a:solidFill>
                <a:sysClr val="windowText" lastClr="000000"/>
              </a:solidFill>
              <a:effectLst/>
              <a:latin typeface="+mn-lt"/>
              <a:ea typeface="+mn-ea"/>
              <a:cs typeface="+mn-cs"/>
            </a:rPr>
            <a:t> </a:t>
          </a:r>
          <a:endParaRPr lang="en-US" sz="1400" b="1" u="sng">
            <a:solidFill>
              <a:sysClr val="windowText" lastClr="000000"/>
            </a:solidFill>
            <a:effectLst/>
            <a:latin typeface="+mn-lt"/>
            <a:ea typeface="+mn-ea"/>
            <a:cs typeface="+mn-cs"/>
          </a:endParaRPr>
        </a:p>
        <a:p>
          <a:pPr lvl="0"/>
          <a:r>
            <a:rPr lang="en-US" sz="1400" b="1" u="sng">
              <a:solidFill>
                <a:schemeClr val="tx2"/>
              </a:solidFill>
              <a:effectLst/>
              <a:latin typeface="+mn-lt"/>
              <a:ea typeface="+mn-ea"/>
              <a:cs typeface="+mn-cs"/>
            </a:rPr>
            <a:t>Comments</a:t>
          </a:r>
        </a:p>
        <a:p>
          <a:pPr marL="182880" lvl="1"/>
          <a:r>
            <a:rPr lang="en-US" sz="1200" b="0">
              <a:solidFill>
                <a:sysClr val="windowText" lastClr="000000"/>
              </a:solidFill>
              <a:effectLst/>
              <a:latin typeface="+mn-lt"/>
              <a:ea typeface="+mn-ea"/>
              <a:cs typeface="+mn-cs"/>
            </a:rPr>
            <a:t>Use the yellow cells in the Comments section to provide narrative and clarifications.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1</xdr:row>
      <xdr:rowOff>0</xdr:rowOff>
    </xdr:from>
    <xdr:to>
      <xdr:col>19</xdr:col>
      <xdr:colOff>797718</xdr:colOff>
      <xdr:row>6</xdr:row>
      <xdr:rowOff>119062</xdr:rowOff>
    </xdr:to>
    <xdr:sp macro="" textlink="">
      <xdr:nvSpPr>
        <xdr:cNvPr id="2" name="Rectangle 1">
          <a:extLst>
            <a:ext uri="{FF2B5EF4-FFF2-40B4-BE49-F238E27FC236}">
              <a16:creationId xmlns:a16="http://schemas.microsoft.com/office/drawing/2014/main" id="{ADFD6E51-3350-427F-ABC0-CB5EF7947406}"/>
            </a:ext>
          </a:extLst>
        </xdr:cNvPr>
        <xdr:cNvSpPr/>
      </xdr:nvSpPr>
      <xdr:spPr>
        <a:xfrm>
          <a:off x="17180719" y="333375"/>
          <a:ext cx="47744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10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631030</xdr:colOff>
      <xdr:row>0</xdr:row>
      <xdr:rowOff>297659</xdr:rowOff>
    </xdr:from>
    <xdr:to>
      <xdr:col>21</xdr:col>
      <xdr:colOff>547685</xdr:colOff>
      <xdr:row>6</xdr:row>
      <xdr:rowOff>83346</xdr:rowOff>
    </xdr:to>
    <xdr:sp macro="" textlink="">
      <xdr:nvSpPr>
        <xdr:cNvPr id="2" name="Rectangle 1">
          <a:extLst>
            <a:ext uri="{FF2B5EF4-FFF2-40B4-BE49-F238E27FC236}">
              <a16:creationId xmlns:a16="http://schemas.microsoft.com/office/drawing/2014/main" id="{658EFAA5-F790-4DDB-800E-AB69B2E34461}"/>
            </a:ext>
          </a:extLst>
        </xdr:cNvPr>
        <xdr:cNvSpPr/>
      </xdr:nvSpPr>
      <xdr:spPr>
        <a:xfrm>
          <a:off x="12144374" y="297659"/>
          <a:ext cx="4964905" cy="1262062"/>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11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333374</xdr:rowOff>
    </xdr:from>
    <xdr:to>
      <xdr:col>21</xdr:col>
      <xdr:colOff>523874</xdr:colOff>
      <xdr:row>8</xdr:row>
      <xdr:rowOff>71437</xdr:rowOff>
    </xdr:to>
    <xdr:sp macro="" textlink="">
      <xdr:nvSpPr>
        <xdr:cNvPr id="2" name="Rectangle 1">
          <a:extLst>
            <a:ext uri="{FF2B5EF4-FFF2-40B4-BE49-F238E27FC236}">
              <a16:creationId xmlns:a16="http://schemas.microsoft.com/office/drawing/2014/main" id="{A71D4904-73CC-461A-A992-A10079142858}"/>
            </a:ext>
          </a:extLst>
        </xdr:cNvPr>
        <xdr:cNvSpPr/>
      </xdr:nvSpPr>
      <xdr:spPr>
        <a:xfrm>
          <a:off x="13930313" y="333374"/>
          <a:ext cx="4774405" cy="1595438"/>
        </a:xfrm>
        <a:prstGeom prst="rect">
          <a:avLst/>
        </a:prstGeom>
        <a:solidFill>
          <a:sysClr val="window" lastClr="FFFFFF"/>
        </a:solid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ct val="108000"/>
            </a:lnSpc>
          </a:pPr>
          <a:r>
            <a:rPr lang="en-US" sz="1600" b="1" i="0" u="none" strike="noStrike">
              <a:solidFill>
                <a:schemeClr val="tx2"/>
              </a:solidFill>
              <a:effectLst/>
              <a:latin typeface="+mn-lt"/>
              <a:ea typeface="+mn-ea"/>
              <a:cs typeface="+mn-cs"/>
            </a:rPr>
            <a:t>WA Exhibit 12 Instructions</a:t>
          </a:r>
        </a:p>
        <a:p>
          <a:pPr marL="182880" algn="l">
            <a:lnSpc>
              <a:spcPct val="108000"/>
            </a:lnSpc>
          </a:pPr>
          <a:r>
            <a:rPr lang="en-US" sz="1200" b="0" i="0" u="none" strike="noStrike" kern="1200">
              <a:solidFill>
                <a:sysClr val="windowText" lastClr="000000"/>
              </a:solidFill>
              <a:effectLst/>
              <a:latin typeface="+mn-lt"/>
              <a:ea typeface="+mn-ea"/>
              <a:cs typeface="+mn-cs"/>
            </a:rPr>
            <a:t>Input</a:t>
          </a:r>
          <a:r>
            <a:rPr lang="en-US" sz="1200" i="0">
              <a:solidFill>
                <a:sysClr val="windowText" lastClr="000000"/>
              </a:solidFill>
              <a:effectLst/>
              <a:latin typeface="+mn-lt"/>
              <a:ea typeface="+mn-ea"/>
              <a:cs typeface="+mn-cs"/>
            </a:rPr>
            <a:t> requested data in the yellow cells, based on actual experience or projections, as appropriate, for this Washington State market</a:t>
          </a:r>
          <a:r>
            <a:rPr lang="en-US" sz="1200" i="0" baseline="0">
              <a:solidFill>
                <a:sysClr val="windowText" lastClr="000000"/>
              </a:solidFill>
              <a:effectLst/>
              <a:latin typeface="+mn-lt"/>
              <a:ea typeface="+mn-ea"/>
              <a:cs typeface="+mn-cs"/>
            </a:rPr>
            <a:t>. </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i="0" baseline="0">
              <a:solidFill>
                <a:sysClr val="windowText" lastClr="000000"/>
              </a:solidFill>
              <a:effectLst/>
              <a:latin typeface="+mn-lt"/>
              <a:ea typeface="+mn-ea"/>
              <a:cs typeface="+mn-cs"/>
            </a:rPr>
            <a:t>Address "C. Difference" amounts that are not $0.</a:t>
          </a:r>
        </a:p>
        <a:p>
          <a:pPr marL="182880" algn="l">
            <a:lnSpc>
              <a:spcPct val="108000"/>
            </a:lnSpc>
          </a:pPr>
          <a:endParaRPr lang="en-US" sz="600" i="0" baseline="0">
            <a:solidFill>
              <a:sysClr val="windowText" lastClr="000000"/>
            </a:solidFill>
            <a:effectLst/>
            <a:latin typeface="+mn-lt"/>
            <a:ea typeface="+mn-ea"/>
            <a:cs typeface="+mn-cs"/>
          </a:endParaRPr>
        </a:p>
        <a:p>
          <a:pPr marL="182880" algn="l">
            <a:lnSpc>
              <a:spcPct val="108000"/>
            </a:lnSpc>
          </a:pPr>
          <a:r>
            <a:rPr lang="en-US" sz="1200" b="0" i="0" kern="1200" baseline="0">
              <a:solidFill>
                <a:sysClr val="windowText" lastClr="000000"/>
              </a:solidFill>
              <a:effectLst/>
              <a:latin typeface="+mn-lt"/>
              <a:ea typeface="+mn-ea"/>
              <a:cs typeface="+mn-cs"/>
            </a:rPr>
            <a:t>Add notes, as needed, to Comments at the bottom of this worksheet.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A2CFA7-D101-4F62-A807-EF57D5FAE44F}" name="tbl_RAIDFs" displayName="tbl_RAIDFs" ref="A5:B10" totalsRowShown="0" headerRowDxfId="158" headerRowBorderDxfId="157" tableBorderDxfId="156" totalsRowBorderDxfId="155">
  <autoFilter ref="A5:B10" xr:uid="{A7A2CFA7-D101-4F62-A807-EF57D5FAE44F}"/>
  <tableColumns count="2">
    <tableColumn id="1" xr3:uid="{F42FEEEA-C17D-463B-B191-6293CEEDF4E5}" name="Metal Level" dataDxfId="154"/>
    <tableColumn id="2" xr3:uid="{F42699F5-15F7-469F-87CF-B6C1CBAFCF86}" name="Induced Demand Factor (IDF)" dataDxfId="15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6062E06-6B1C-4072-98FC-F9305D61F3A2}" name="tbl_CSRVariantType" displayName="tbl_CSRVariantType" ref="A19:A25" totalsRowShown="0" headerRowDxfId="152" dataDxfId="151">
  <autoFilter ref="A19:A25" xr:uid="{A6062E06-6B1C-4072-98FC-F9305D61F3A2}"/>
  <tableColumns count="1">
    <tableColumn id="1" xr3:uid="{8D4C1867-48FF-41E4-9545-1FB690875C67}" name="CSR Variant Types" dataDxfId="15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7B1690-283A-4567-A3C6-7324C86E8B21}" name="tbl_Exh3.1" displayName="tbl_Exh3.1" ref="A9:T45" totalsRowShown="0" headerRowDxfId="149" dataDxfId="147" headerRowBorderDxfId="148" tableBorderDxfId="146" totalsRowBorderDxfId="145">
  <tableColumns count="20">
    <tableColumn id="1" xr3:uid="{156704D1-D72F-4522-9744-A98C6DE37004}" name="Incurred Date (YYYYMM)" dataDxfId="144"/>
    <tableColumn id="2" xr3:uid="{9856EA90-16F5-48A2-A40E-510269DD4D9A}" name="Member Months" dataDxfId="143" dataCellStyle="Comma"/>
    <tableColumn id="3" xr3:uid="{674F1CBB-E59F-405F-841D-9CD1989E396E}" name="Allowed Claims _x000a_(as of 3/31/2025)" dataDxfId="142">
      <calculatedColumnFormula>tbl_Exh3.1[[#This Row],[Member Months]]*300*(AA10)*tbl_Exh3.1[[#This Row],[Accumulated Adjustments]]+tbl_Exh3.1[[#This Row],[One-Time Adjustment for High Claims (Non-Predictive Claims)]]+tbl_Exh3.1[[#This Row],[One-Time Adjustment for HCRP Receipts]]</calculatedColumnFormula>
    </tableColumn>
    <tableColumn id="4" xr3:uid="{D1180049-55EF-4B9C-9CA3-267335DFF2C2}" name="Allowed Claims Completion factor (based on IBNP estimates)" dataDxfId="141">
      <calculatedColumnFormula>0.985</calculatedColumnFormula>
    </tableColumn>
    <tableColumn id="20" xr3:uid="{821EDAC9-4321-4264-9730-DFBA74265BDD}" name="Ultimate Allowed Claims" dataDxfId="140">
      <calculatedColumnFormula>tbl_Exh3.1[[#This Row],[Allowed Claims 
(as of 3/31/2025)]]/tbl_Exh3.1[[#This Row],[Allowed Claims Completion factor (based on IBNP estimates)]]</calculatedColumnFormula>
    </tableColumn>
    <tableColumn id="5" xr3:uid="{93A8D137-4CCE-4E97-BDC8-CAEDA24BBD06}" name="One-Time Adjustment for High Claims (Non-Predictive Claims)" dataDxfId="139" dataCellStyle="Comma"/>
    <tableColumn id="6" xr3:uid="{66198E49-7595-4668-8003-E621DD1A9F95}" name="One-Time Adjustment for HCRP Receipts" dataDxfId="138" dataCellStyle="Comma"/>
    <tableColumn id="7" xr3:uid="{41F8670D-94BC-458F-9E3C-5BAE25919025}" name="Non-EHB Allowed Claims" dataDxfId="137">
      <calculatedColumnFormula>0.01*tbl_Exh3.1[[#This Row],[Ultimate Allowed Claims]]</calculatedColumnFormula>
    </tableColumn>
    <tableColumn id="8" xr3:uid="{D7113CFD-5279-457E-8F4E-371573227E5F}" name="Predictive Ultimate Allowed EHB Claims" dataDxfId="136">
      <calculatedColumnFormula>tbl_Exh3.1[[#This Row],[Ultimate Allowed Claims]]-tbl_Exh3.1[[#This Row],[One-Time Adjustment for High Claims (Non-Predictive Claims)]]-tbl_Exh3.1[[#This Row],[One-Time Adjustment for HCRP Receipts]]-tbl_Exh3.1[[#This Row],[Non-EHB Allowed Claims]]</calculatedColumnFormula>
    </tableColumn>
    <tableColumn id="9" xr3:uid="{3D7B655C-D6CC-4F3A-BA83-930095781839}" name="Predictive Ultimate Allowed EHB Claims PMPM" dataDxfId="135">
      <calculatedColumnFormula>tbl_Exh3.1[[#This Row],[Predictive Ultimate Allowed EHB Claims]]/tbl_Exh3.1[[#This Row],[Member Months]]</calculatedColumnFormula>
    </tableColumn>
    <tableColumn id="10" xr3:uid="{E68A417F-B608-403D-A2AE-A369550DD845}" name="Morbidity Adjustment" dataDxfId="134">
      <calculatedColumnFormula>1.018^(VALUE(LEFT(tbl_Exh3.1[[#This Row],[Incurred Date (YYYYMM)]],4))-2022)</calculatedColumnFormula>
    </tableColumn>
    <tableColumn id="11" xr3:uid="{F0D6D2C0-C0DB-427D-8D63-9CA00994070E}" name="Demographic Shift" dataDxfId="133">
      <calculatedColumnFormula>1.015^(VALUE(LEFT(tbl_Exh3.1[[#This Row],[Incurred Date (YYYYMM)]],4))-2022)</calculatedColumnFormula>
    </tableColumn>
    <tableColumn id="12" xr3:uid="{080214AE-AC82-4ADC-A643-BDB1EA1928C3}" name="Plan Design Changes" dataDxfId="132">
      <calculatedColumnFormula>0.99^(VALUE(LEFT(tbl_Exh3.1[[#This Row],[Incurred Date (YYYYMM)]],4))-2022)</calculatedColumnFormula>
    </tableColumn>
    <tableColumn id="13" xr3:uid="{B447744D-3248-4E68-881C-17445CFD94E8}" name="Other Adjustments" dataDxfId="131">
      <calculatedColumnFormula>1.005^(VALUE(LEFT(tbl_Exh3.1[[#This Row],[Incurred Date (YYYYMM)]],4))-2022)</calculatedColumnFormula>
    </tableColumn>
    <tableColumn id="21" xr3:uid="{112027FB-E477-4AEA-8F9A-91D580D4D9AF}" name="Combined Adjustment" dataDxfId="130">
      <calculatedColumnFormula>PRODUCT(tbl_Exh3.1[[#This Row],[Morbidity Adjustment]:[Other Adjustments]])</calculatedColumnFormula>
    </tableColumn>
    <tableColumn id="14" xr3:uid="{D1E02262-3C72-4144-8597-5503CE8A3DAB}" name="Accumulated Adjustments" dataDxfId="129">
      <calculatedColumnFormula array="1">PRODUCT(IF(VALUE(RIGHT(tbl_Exh3.1[Incurred Date (YYYYMM)],2))=VALUE(RIGHT(tbl_Exh3.1[[#This Row],[Incurred Date (YYYYMM)]],2)),IF(VALUE(LEFT(tbl_Exh3.1[Incurred Date (YYYYMM)],4))&lt;=VALUE(LEFT(tbl_Exh3.1[[#This Row],[Incurred Date (YYYYMM)]],4)),tbl_Exh3.1[Combined Adjustment],1),1))</calculatedColumnFormula>
    </tableColumn>
    <tableColumn id="18" xr3:uid="{FCB98B09-BF09-44C0-AEB2-153F13BBD627}" name="Allowable Rating Adjustment Normalization Factor" dataDxfId="128">
      <calculatedColumnFormula>INDEX(tbl_Exh3.1[Accumulated Adjustments],MATCH(VALUE(SUBSTITUTE(tbl_Exh3.1[[#This Row],[Incurred Date (YYYYMM)]],LEFT(tbl_Exh3.1[[#This Row],[Incurred Date (YYYYMM)]],4),ExperYear)),tbl_Exh3.1[Incurred Date (YYYYMM)],0))/tbl_Exh3.1[[#This Row],[Accumulated Adjustments]]</calculatedColumnFormula>
    </tableColumn>
    <tableColumn id="16" xr3:uid="{EC2A72EF-0731-4FCF-9A74-FA7F35147E90}" name="Normalized Allowed Claims PMPM (to Experience Period)" dataDxfId="127">
      <calculatedColumnFormula>tbl_Exh3.1[[#This Row],[Allowable Rating Adjustment Normalization Factor]]*tbl_Exh3.1[[#This Row],[Predictive Ultimate Allowed EHB Claims PMPM]]</calculatedColumnFormula>
    </tableColumn>
    <tableColumn id="19" xr3:uid="{0B2445CF-014D-43A2-A129-3B4C6AE054A6}" name="Unadjusted 12-Month Rolling Allowed Claims Trend" dataDxfId="126"/>
    <tableColumn id="17" xr3:uid="{F4E218E7-6CAF-4240-A08C-AC41A146BFD7}" name="Normalized 12-Month Rolling Allowed Claims Trend" dataDxfId="125"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509E1-2B87-41DF-B405-DC50578D25E1}" name="tbl_Exh3.2" displayName="tbl_Exh3.2" ref="A48:J51" totalsRowShown="0" headerRowDxfId="124" dataDxfId="122" headerRowBorderDxfId="123" tableBorderDxfId="121" totalsRowBorderDxfId="120">
  <tableColumns count="10">
    <tableColumn id="1" xr3:uid="{991F39C7-69FB-4FCF-82D9-4397C322F385}" name="Plan Year" dataDxfId="119"/>
    <tableColumn id="2" xr3:uid="{3C11407A-1897-44CE-94D5-4948E655DB04}" name="Total Member Months" dataDxfId="118">
      <calculatedColumnFormula array="1">SUMPRODUCT((ROUNDDOWN(tbl_Exh3.1[Incurred Date (YYYYMM)]/100,0)=$A49)*tbl_Exh3.1[Member Months])</calculatedColumnFormula>
    </tableColumn>
    <tableColumn id="3" xr3:uid="{A810A9BB-1023-41C1-A6EC-10C68744EF70}" name="Total Allowed Claims _x000a_(as of 3/31/2025)" dataDxfId="117">
      <calculatedColumnFormula array="1">SUMPRODUCT((ROUNDDOWN(tbl_Exh3.1[Incurred Date (YYYYMM)]/100,0)=A49)*tbl_Exh3.1[Allowed Claims 
(as of 3/31/2025)])</calculatedColumnFormula>
    </tableColumn>
    <tableColumn id="4" xr3:uid="{BC8903F0-DD51-4E5D-A58A-4FB4ADA0D5D5}" name="-" dataDxfId="116"/>
    <tableColumn id="5" xr3:uid="{B42E94D1-E5AD-40B9-9F9A-AFFD3F6D0AF2}" name="Total Ultimate Allowed Claims" dataDxfId="115">
      <calculatedColumnFormula array="1">SUMPRODUCT((ROUNDDOWN(tbl_Exh3.1[Incurred Date (YYYYMM)]/100,0)=A49)*tbl_Exh3.1[Ultimate Allowed Claims])</calculatedColumnFormula>
    </tableColumn>
    <tableColumn id="6" xr3:uid="{5E7B32DD-8D49-4617-BA64-6EBDC78273D4}" name="Total One-Time Adjustment for High Claims (Non-Predictive Claims)" dataDxfId="114">
      <calculatedColumnFormula array="1">SUMPRODUCT((ROUNDDOWN(tbl_Exh3.1[Incurred Date (YYYYMM)]/100,0)=A49)*tbl_Exh3.1[One-Time Adjustment for High Claims (Non-Predictive Claims)])</calculatedColumnFormula>
    </tableColumn>
    <tableColumn id="7" xr3:uid="{148DB7F2-6B18-42F8-B07D-ECCA1643B478}" name="Total One-Time Adjustment for HCRP Receipts" dataDxfId="113">
      <calculatedColumnFormula array="1">SUMPRODUCT((ROUNDDOWN(tbl_Exh3.1[Incurred Date (YYYYMM)]/100,0)=A49)*tbl_Exh3.1[One-Time Adjustment for HCRP Receipts])</calculatedColumnFormula>
    </tableColumn>
    <tableColumn id="8" xr3:uid="{EC7FD6F0-1D30-4E3D-A21B-CE663AC1DE53}" name="Total Non-EHB Allowed Claims" dataDxfId="112">
      <calculatedColumnFormula array="1">SUMPRODUCT((ROUNDDOWN(tbl_Exh3.1[Incurred Date (YYYYMM)]/100,0)=A49)*tbl_Exh3.1[Non-EHB Allowed Claims])</calculatedColumnFormula>
    </tableColumn>
    <tableColumn id="9" xr3:uid="{E6121C1E-39EC-4663-B85C-FE15B4B7D804}" name="Total Predictive Ultimate Allowed EHB Claims" dataDxfId="111">
      <calculatedColumnFormula array="1">SUMPRODUCT((ROUNDDOWN(tbl_Exh3.1[Incurred Date (YYYYMM)]/100,0)=A49)*tbl_Exh3.1[Predictive Ultimate Allowed EHB Claims])</calculatedColumnFormula>
    </tableColumn>
    <tableColumn id="10" xr3:uid="{BBEFCB78-6963-4CA6-A293-02E5F6101EEE}" name="Total Predictive Ultimate Allowed EHB Claims PMPM" dataDxfId="110">
      <calculatedColumnFormula>tbl_Exh3.2[[#This Row],[Total Predictive Ultimate Allowed EHB Claims]]/tbl_Exh3.2[[#This Row],[Total Member Months]]</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E4E38F-E3E7-4DD3-BB8F-1AF4B0D0C0C2}" name="tbl_Exh3.110" displayName="tbl_Exh3.110" ref="A10:T46" totalsRowShown="0" headerRowDxfId="109" dataDxfId="107" headerRowBorderDxfId="108" tableBorderDxfId="106" totalsRowBorderDxfId="105">
  <tableColumns count="20">
    <tableColumn id="1" xr3:uid="{4592709F-BDA0-4DA3-A4BB-CDE113A4FE10}" name="Incurred Date (YYYYMM)" dataDxfId="104"/>
    <tableColumn id="2" xr3:uid="{EF3905AC-F966-44AA-85BD-9D3103B11B6B}" name="Member Months" dataDxfId="103" dataCellStyle="Comma"/>
    <tableColumn id="3" xr3:uid="{BDDC22A1-5452-41A7-8ED6-6D26117CBF82}" name="Allowed Claims _x000a_(as of 3/31/2025)" dataDxfId="102">
      <calculatedColumnFormula>tbl_Exh3.110[[#This Row],[Member Months]]*300*(AA11)*tbl_Exh3.110[[#This Row],[Accumulated Adjustments]]+tbl_Exh3.110[[#This Row],[One-Time Adjustment for High Claims (Non-Predictive Claims)]]+tbl_Exh3.110[[#This Row],[One-Time Adjustment for HCRP Receipts]]</calculatedColumnFormula>
    </tableColumn>
    <tableColumn id="4" xr3:uid="{828E79FE-F85C-41C9-9543-4568EB8F7839}" name="Allowed Claims Completion factor (based on IBNP estimates)" dataDxfId="101">
      <calculatedColumnFormula>0.985</calculatedColumnFormula>
    </tableColumn>
    <tableColumn id="20" xr3:uid="{AC409504-F2B2-4CB7-ADAE-CC49830564C8}" name="Ultimate Allowed Claims" dataDxfId="100">
      <calculatedColumnFormula>tbl_Exh3.110[[#This Row],[Allowed Claims 
(as of 3/31/2025)]]/tbl_Exh3.110[[#This Row],[Allowed Claims Completion factor (based on IBNP estimates)]]</calculatedColumnFormula>
    </tableColumn>
    <tableColumn id="5" xr3:uid="{D5D5B24A-F124-43AD-AC90-9C6952F5D171}" name="One-Time Adjustment for High Claims (Non-Predictive Claims)" dataDxfId="99" dataCellStyle="Comma"/>
    <tableColumn id="6" xr3:uid="{99E307D3-7C70-45FB-8BBB-E373F00EF16B}" name="One-Time Adjustment for HCRP Receipts" dataDxfId="98" dataCellStyle="Comma"/>
    <tableColumn id="7" xr3:uid="{C08E94C5-7AE3-4B64-98D7-9A0B369D3877}" name="Non-EHB Allowed Claims" dataDxfId="97">
      <calculatedColumnFormula>0.01*tbl_Exh3.110[[#This Row],[Ultimate Allowed Claims]]</calculatedColumnFormula>
    </tableColumn>
    <tableColumn id="8" xr3:uid="{2B6C9752-C6A7-4AA3-B053-1EC609827182}" name="Predictive Ultimate Allowed EHB Claims" dataDxfId="96">
      <calculatedColumnFormula>tbl_Exh3.110[[#This Row],[Ultimate Allowed Claims]]-tbl_Exh3.110[[#This Row],[One-Time Adjustment for High Claims (Non-Predictive Claims)]]-tbl_Exh3.110[[#This Row],[One-Time Adjustment for HCRP Receipts]]-tbl_Exh3.110[[#This Row],[Non-EHB Allowed Claims]]</calculatedColumnFormula>
    </tableColumn>
    <tableColumn id="9" xr3:uid="{255A2577-0F8E-4C07-8C62-831F22DDD4CE}" name="Predictive Ultimate Allowed EHB Claims PMPM" dataDxfId="95">
      <calculatedColumnFormula>tbl_Exh3.110[[#This Row],[Predictive Ultimate Allowed EHB Claims]]/tbl_Exh3.110[[#This Row],[Member Months]]</calculatedColumnFormula>
    </tableColumn>
    <tableColumn id="10" xr3:uid="{741EF615-2A4F-42E5-970F-67DC91E09B9D}" name="Morbidity Adjustment" dataDxfId="94">
      <calculatedColumnFormula>1.018^(VALUE(LEFT(tbl_Exh3.110[[#This Row],[Incurred Date (YYYYMM)]],4))-2022)</calculatedColumnFormula>
    </tableColumn>
    <tableColumn id="11" xr3:uid="{4BF673E9-08DB-4DEA-AD5D-7FAF9941C10A}" name="Demographic Shift" dataDxfId="93">
      <calculatedColumnFormula>1.015^(VALUE(LEFT(tbl_Exh3.110[[#This Row],[Incurred Date (YYYYMM)]],4))-2022)</calculatedColumnFormula>
    </tableColumn>
    <tableColumn id="12" xr3:uid="{51720A0C-9851-453B-8286-D3D30F33C99D}" name="Plan Design Changes" dataDxfId="92">
      <calculatedColumnFormula>0.99^(VALUE(LEFT(tbl_Exh3.110[[#This Row],[Incurred Date (YYYYMM)]],4))-2022)</calculatedColumnFormula>
    </tableColumn>
    <tableColumn id="13" xr3:uid="{BC78E26F-0DD5-4019-BE5C-B7F927CD98A5}" name="Other Adjustments" dataDxfId="91">
      <calculatedColumnFormula>1.005^(VALUE(LEFT(tbl_Exh3.110[[#This Row],[Incurred Date (YYYYMM)]],4))-2022)</calculatedColumnFormula>
    </tableColumn>
    <tableColumn id="21" xr3:uid="{1CBAAE60-86F9-4C47-B2CD-9EA34DAB10B1}" name="Combined Adjustment" dataDxfId="90">
      <calculatedColumnFormula>PRODUCT(tbl_Exh3.110[[#This Row],[Morbidity Adjustment]:[Other Adjustments]])</calculatedColumnFormula>
    </tableColumn>
    <tableColumn id="14" xr3:uid="{FD8802F1-3A78-453A-815B-2709B1B760D1}" name="Accumulated Adjustments" dataDxfId="89">
      <calculatedColumnFormula array="1">PRODUCT(IF(VALUE(RIGHT(tbl_Exh3.110[Incurred Date (YYYYMM)],2))=VALUE(RIGHT(tbl_Exh3.110[[#This Row],[Incurred Date (YYYYMM)]],2)),IF(VALUE(LEFT(tbl_Exh3.110[Incurred Date (YYYYMM)],4))&lt;=VALUE(LEFT(tbl_Exh3.110[[#This Row],[Incurred Date (YYYYMM)]],4)),tbl_Exh3.110[Combined Adjustment],1),1))</calculatedColumnFormula>
    </tableColumn>
    <tableColumn id="18" xr3:uid="{C46899A3-7878-4F8A-A701-651DC1FA8AA8}" name="Allowable Rating Adjustment Normalization Factor" dataDxfId="88">
      <calculatedColumnFormula>INDEX(tbl_Exh3.110[Accumulated Adjustments],MATCH(VALUE(SUBSTITUTE(tbl_Exh3.110[[#This Row],[Incurred Date (YYYYMM)]],LEFT(tbl_Exh3.110[[#This Row],[Incurred Date (YYYYMM)]],4),ExperYear)),tbl_Exh3.110[Incurred Date (YYYYMM)],0))/tbl_Exh3.110[[#This Row],[Accumulated Adjustments]]</calculatedColumnFormula>
    </tableColumn>
    <tableColumn id="16" xr3:uid="{DE378993-858F-4242-B808-0CF38A413C81}" name="Normalized Allowed Claims PMPM (to Experience Period)" dataDxfId="87">
      <calculatedColumnFormula>tbl_Exh3.110[[#This Row],[Allowable Rating Adjustment Normalization Factor]]*tbl_Exh3.110[[#This Row],[Predictive Ultimate Allowed EHB Claims PMPM]]</calculatedColumnFormula>
    </tableColumn>
    <tableColumn id="19" xr3:uid="{C07A5696-8FF6-4833-9950-73CFF00CDCDF}" name="Unadjusted 12-Month Rolling Allowed Claims Trend" dataDxfId="86"/>
    <tableColumn id="17" xr3:uid="{AE81364A-7926-4D28-9FA4-8EC2259C5C0F}" name="Normalized 12-Month Rolling Allowed Claims Trend" dataDxfId="85"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AFB64A0-E952-4163-B632-0DA8E2D9996B}" name="tbl_Exh3.211" displayName="tbl_Exh3.211" ref="A49:J52" totalsRowShown="0" headerRowDxfId="84" dataDxfId="82" headerRowBorderDxfId="83" tableBorderDxfId="81" totalsRowBorderDxfId="80">
  <tableColumns count="10">
    <tableColumn id="1" xr3:uid="{F1D59523-73F5-4CE3-B38B-486509F4ADA5}" name="Plan Year" dataDxfId="79"/>
    <tableColumn id="2" xr3:uid="{0498D384-F035-4E5A-A8F1-CFAB358A594C}" name="Total Member Months" dataDxfId="78">
      <calculatedColumnFormula array="1">SUMPRODUCT((ROUNDDOWN(tbl_Exh3.110[Incurred Date (YYYYMM)]/100,0)=$A50)*tbl_Exh3.110[Member Months])</calculatedColumnFormula>
    </tableColumn>
    <tableColumn id="3" xr3:uid="{BBDC3E25-6B9C-4C6F-9AB6-1298BD2D008C}" name="Total Allowed Claims _x000a_(as of 3/31/2025)" dataDxfId="77">
      <calculatedColumnFormula array="1">SUMPRODUCT((ROUNDDOWN(tbl_Exh3.110[Incurred Date (YYYYMM)]/100,0)=A50)*tbl_Exh3.110[Allowed Claims 
(as of 3/31/2025)])</calculatedColumnFormula>
    </tableColumn>
    <tableColumn id="4" xr3:uid="{CBA32295-8AEF-4DB8-974B-49C4653E2FF8}" name="Blank2" dataDxfId="76"/>
    <tableColumn id="5" xr3:uid="{AF47843E-AFE1-45E4-8A68-36E5A93CFA94}" name="Total Ultimate Allowed Claims" dataDxfId="75">
      <calculatedColumnFormula array="1">SUMPRODUCT((ROUNDDOWN(tbl_Exh3.110[Incurred Date (YYYYMM)]/100,0)=A50)*tbl_Exh3.110[Ultimate Allowed Claims])</calculatedColumnFormula>
    </tableColumn>
    <tableColumn id="6" xr3:uid="{6E0CC5D6-CEDF-4A6D-AC8D-B1A7C2AA22FC}" name="Total One-Time Adjustment for High Claims (Non-Predictive Claims)" dataDxfId="74">
      <calculatedColumnFormula array="1">SUMPRODUCT((ROUNDDOWN(tbl_Exh3.110[Incurred Date (YYYYMM)]/100,0)=A50)*tbl_Exh3.110[One-Time Adjustment for High Claims (Non-Predictive Claims)])</calculatedColumnFormula>
    </tableColumn>
    <tableColumn id="7" xr3:uid="{45EB872E-9C67-4571-B2FF-07CEC1DC6B74}" name="Total One-Time Adjustment for HCRP Receipts" dataDxfId="73">
      <calculatedColumnFormula array="1">SUMPRODUCT((ROUNDDOWN(tbl_Exh3.110[Incurred Date (YYYYMM)]/100,0)=A50)*tbl_Exh3.110[One-Time Adjustment for HCRP Receipts])</calculatedColumnFormula>
    </tableColumn>
    <tableColumn id="8" xr3:uid="{28BEE305-4D36-4373-B9AD-D9DDFD0ED0EA}" name="Total Non-EHB Allowed Claims" dataDxfId="72">
      <calculatedColumnFormula array="1">SUMPRODUCT((ROUNDDOWN(tbl_Exh3.110[Incurred Date (YYYYMM)]/100,0)=A50)*tbl_Exh3.110[Non-EHB Allowed Claims])</calculatedColumnFormula>
    </tableColumn>
    <tableColumn id="9" xr3:uid="{3973CC22-94E0-4060-9094-10D0A09B8EA4}" name="Total Predictive Ultimate Allowed EHB Claims" dataDxfId="71">
      <calculatedColumnFormula array="1">SUMPRODUCT((ROUNDDOWN(tbl_Exh3.110[Incurred Date (YYYYMM)]/100,0)=A50)*tbl_Exh3.110[Predictive Ultimate Allowed EHB Claims])</calculatedColumnFormula>
    </tableColumn>
    <tableColumn id="10" xr3:uid="{65805853-C2D1-4AE3-8997-40A05A3CFB88}" name="Total Predictive Ultimate Allowed EHB Claims PMPM" dataDxfId="70">
      <calculatedColumnFormula>tbl_Exh3.211[[#This Row],[Total Predictive Ultimate Allowed EHB Claims]]/tbl_Exh3.211[[#This Row],[Total Member Months]]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36876C-37B5-418C-8C30-5DEFDCB20376}" name="tbl_Exh8.1" displayName="tbl_Exh8.1" ref="A9:K12" totalsRowShown="0" headerRowDxfId="69" headerRowBorderDxfId="68" tableBorderDxfId="67">
  <autoFilter ref="A9:K12" xr:uid="{7C36876C-37B5-418C-8C30-5DEFDCB20376}"/>
  <tableColumns count="11">
    <tableColumn id="1" xr3:uid="{423F5CAF-A769-4E35-B045-0CEBFE8D3D79}" name="HIOS Plan ID"/>
    <tableColumn id="2" xr3:uid="{194BD9B6-3543-491B-834E-798E16C2B59C}" name="Metal Level" dataDxfId="66"/>
    <tableColumn id="3" xr3:uid="{095AF419-15F1-40AA-99DD-902020F1924C}" name="AV Metal Value_x000a_2024" dataDxfId="65"/>
    <tableColumn id="4" xr3:uid="{0BC48447-CD92-43E8-801B-4D0060E8B3C6}" name="AV Metal Value_x000a_2025" dataDxfId="64"/>
    <tableColumn id="5" xr3:uid="{41454154-808C-4B46-AE94-28032EA6DB84}" name="AV Metal Value_x000a_2026" dataDxfId="63"/>
    <tableColumn id="6" xr3:uid="{5748C726-9620-4E4D-9EA9-C1C69F73836C}" name="AV Pricing Value_x000a_2024" dataDxfId="62"/>
    <tableColumn id="7" xr3:uid="{255EDF41-730F-4786-9C2D-08811382C17E}" name="AV Pricing Value_x000a_2025" dataDxfId="61"/>
    <tableColumn id="8" xr3:uid="{08A68729-8349-449E-8D78-672E2F60EC35}" name="AV Pricing Value_x000a_2026" dataDxfId="60"/>
    <tableColumn id="10" xr3:uid="{2C465B2D-F596-4C87-A03A-19220EE253E0}" name="2024" dataDxfId="59" dataCellStyle="Normal">
      <calculatedColumnFormula>tbl_Exh8.1[[#This Row],[AV Pricing Value
2024]]-tbl_Exh8.1[[#This Row],[AV Metal Value
2024]]</calculatedColumnFormula>
    </tableColumn>
    <tableColumn id="11" xr3:uid="{A47651BA-E7DF-4C74-BD67-37BFFF41BCF8}" name="2025" dataDxfId="58" dataCellStyle="Normal">
      <calculatedColumnFormula>tbl_Exh8.1[[#This Row],[AV Pricing Value
2025]]-tbl_Exh8.1[[#This Row],[AV Metal Value
2025]]</calculatedColumnFormula>
    </tableColumn>
    <tableColumn id="12" xr3:uid="{3EBF4A6A-1395-4D98-B41F-FE7FCE4AFA74}" name="2026" dataDxfId="57" dataCellStyle="Normal">
      <calculatedColumnFormula>tbl_Exh8.1[[#This Row],[AV Pricing Value
2026]]-tbl_Exh8.1[[#This Row],[AV Metal Value
2026]]</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B0D561-305D-41B5-9775-E229EFE9182E}" name="tbl_Exh7" displayName="tbl_Exh7" ref="A9:M12" totalsRowShown="0" headerRowDxfId="56" dataDxfId="55" dataCellStyle="Normal">
  <autoFilter ref="A9:M12" xr:uid="{C4C2525C-B934-4F03-B3C5-DA402A490ADF}"/>
  <tableColumns count="13">
    <tableColumn id="1" xr3:uid="{1CAF861B-1EBF-452D-B008-20032ACA4795}" name="HIOS Plan ID" dataDxfId="54" dataCellStyle="Normal"/>
    <tableColumn id="15" xr3:uid="{F0FA0837-2EF0-446E-8F33-A4AB26F60EFF}" name="Metal Level" dataDxfId="53"/>
    <tableColumn id="3" xr3:uid="{16123846-26CB-4FAD-9742-68ADE780084F}" name="CSR Plan Variant" dataDxfId="52"/>
    <tableColumn id="2" xr3:uid="{80266D1C-D65B-414B-A4DC-1801D2A3CD3D}" name="2026 Plan Category_x000a_(New, Renewing, Terminated)" dataDxfId="51" dataCellStyle="Normal"/>
    <tableColumn id="6" xr3:uid="{98D04012-60CF-492A-84F9-A18FF9C6D16A}" name="CSR Silver Load (Projected)" dataDxfId="50" dataCellStyle="Comma"/>
    <tableColumn id="17" xr3:uid="{8E2FB540-255E-44BD-92DE-597D7D59BDD4}" name="Member Months" dataDxfId="49"/>
    <tableColumn id="7" xr3:uid="{5A55DE3B-76D4-420E-B679-28A0C14F3F72}" name="Allowed Claims" dataDxfId="48" dataCellStyle="Normal"/>
    <tableColumn id="8" xr3:uid="{0BC3431E-C068-4734-BCFD-434DD18751C5}" name="Paid Claims" dataDxfId="47" dataCellStyle="Normal"/>
    <tableColumn id="18" xr3:uid="{D2095542-6B62-4234-93EA-FE7645F74747}" name="Paid-to-Allowed Ratio" dataDxfId="46">
      <calculatedColumnFormula>tbl_Exh7[[#This Row],[Paid Claims]]/tbl_Exh7[[#This Row],[Allowed Claims]]</calculatedColumnFormula>
    </tableColumn>
    <tableColumn id="19" xr3:uid="{D9524C21-D685-4B46-8923-982D44B0266F}" name="CSR Paid Claims" dataDxfId="45"/>
    <tableColumn id="21" xr3:uid="{62D7AEAC-BE19-42CB-802F-9B36010F0909}" name="CSR-Adjusted_x000a_Paid-to-Allowed_x000a_Ratio" dataDxfId="44">
      <calculatedColumnFormula>(tbl_Exh7[[#This Row],[Paid Claims]]-tbl_Exh7[[#This Row],[CSR Paid Claims]])/tbl_Exh7[[#This Row],[Allowed Claims]]</calculatedColumnFormula>
    </tableColumn>
    <tableColumn id="16" xr3:uid="{B489EE0C-D29C-484B-84A5-373159A0CFEF}" name="APTC Payments" dataDxfId="43"/>
    <tableColumn id="22" xr3:uid="{FB868C92-82E4-450F-AEC8-8048D1231ED5}" name="Net CSR Funds" dataDxfId="42" dataCellStyle="Normal">
      <calculatedColumnFormula>IF(tbl_Exh7[[#This Row],[CSR Paid Claims]]&gt;0,tbl_Exh7[[#This Row],[APTC Payments]]-tbl_Exh7[[#This Row],[CSR Paid Claims]],"")</calculatedColumnFormula>
    </tableColumn>
  </tableColumns>
  <tableStyleInfo name="TableStyleMedium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CB20816-6502-41EA-B915-6A4F446835F3}" name="tbl_Exh9" displayName="tbl_Exh9" ref="A9:L17" totalsRowShown="0" headerRowDxfId="41" dataDxfId="39" headerRowBorderDxfId="40" dataCellStyle="Normal">
  <autoFilter ref="A9:L17" xr:uid="{C4C2525C-B934-4F03-B3C5-DA402A490ADF}"/>
  <tableColumns count="12">
    <tableColumn id="1" xr3:uid="{B86635FE-CD67-4303-8C0D-90894C54AF2E}" name="HIOS Plan ID" dataDxfId="38" dataCellStyle="Normal"/>
    <tableColumn id="15" xr3:uid="{538EF4DF-B339-4941-AC61-A1D004BCB6C8}" name="Metal Level" dataDxfId="37"/>
    <tableColumn id="2" xr3:uid="{5C0B543F-A724-425F-9B03-649246A7A44E}" name="2026 Plan Category_x000a_(New, Renewing, Terminated)" dataDxfId="36"/>
    <tableColumn id="3" xr3:uid="{539A561D-CE97-47E4-9CD6-71115D5B0A1D}" name="Exchange Plan?" dataDxfId="35"/>
    <tableColumn id="4" xr3:uid="{23F76DC7-4B5C-450A-B251-762777746C92}" name="Requesting Expanded AV Pricing Value Range" dataDxfId="34"/>
    <tableColumn id="21" xr3:uid="{D573A4B7-EC2A-423A-A773-5BBD4D6AB015}" name="AV Metal Value" dataDxfId="33"/>
    <tableColumn id="24" xr3:uid="{EAC2111D-E463-4D4E-A9D9-062E1560D360}" name="AV Pricing Value" dataDxfId="32"/>
    <tableColumn id="5" xr3:uid="{4F05B2D5-37FB-45B5-8C70-E0C7F288EE62}" name="Induced Demand Factor_x000a_(IDF)" dataDxfId="31" dataCellStyle="Normal">
      <calculatedColumnFormula>tbl_Exh9[[#This Row],[AV Pricing Value]]^2-tbl_Exh9[[#This Row],[AV Pricing Value]]+1.24</calculatedColumnFormula>
    </tableColumn>
    <tableColumn id="6" xr3:uid="{05B0E4F8-2DFC-4DEF-B9B9-43806B1B5BA0}" name="CSR Silver Load" dataDxfId="30" dataCellStyle="Normal"/>
    <tableColumn id="25" xr3:uid="{DE3E874B-AEC9-4FB0-9C42-AB5D960742A9}" name="Check_x000a_AV Pricing Value within 2% (or 3%)_x000a_of AV Metal Value" dataDxfId="29" dataCellStyle="Percent">
      <calculatedColumnFormula>tbl_Exh9[[#This Row],[AV Pricing Value]]-tbl_Exh9[[#This Row],[AV Metal Value]]</calculatedColumnFormula>
    </tableColumn>
    <tableColumn id="26" xr3:uid="{371F0D97-4F01-4DCC-86EF-A618FA0E70E2}" name="Check _x000a_Expected Risk Adjustment IDF" dataDxfId="28" dataCellStyle="Normal">
      <calculatedColumnFormula>tbl_Exh9[[#This Row],[AV Pricing Value]]^2-tbl_Exh9[[#This Row],[AV Pricing Value]]+1.24</calculatedColumnFormula>
    </tableColumn>
    <tableColumn id="27" xr3:uid="{E3DDD997-20D7-4B88-8714-9229F30A9AB5}" name="Check_x000a_CSR Silver Load" dataDxfId="27" dataCellStyle="Normal">
      <calculatedColumnFormula>IF(AND(tbl_Exh9[[#This Row],[CSR Silver Load]]&lt;&gt;"",tbl_Exh9[[#This Row],[CSR Silver Load]]&lt;&gt;1),1.435,"")</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6909-BA0D-4DEF-ACD4-7F1077235220}">
  <sheetPr codeName="Sheet2">
    <tabColor theme="0" tint="-0.499984740745262"/>
  </sheetPr>
  <dimension ref="A1:B25"/>
  <sheetViews>
    <sheetView topLeftCell="A3" workbookViewId="0">
      <selection activeCell="M43" sqref="M43"/>
    </sheetView>
  </sheetViews>
  <sheetFormatPr defaultRowHeight="12" x14ac:dyDescent="0.2"/>
  <cols>
    <col min="1" max="1" width="16" style="278" customWidth="1"/>
    <col min="2" max="16384" width="9.140625" style="278"/>
  </cols>
  <sheetData>
    <row r="1" spans="1:2" x14ac:dyDescent="0.2">
      <c r="A1" s="279" t="s">
        <v>0</v>
      </c>
    </row>
    <row r="2" spans="1:2" x14ac:dyDescent="0.2">
      <c r="A2" s="280" t="s">
        <v>1</v>
      </c>
    </row>
    <row r="3" spans="1:2" ht="12.75" thickBot="1" x14ac:dyDescent="0.25">
      <c r="A3" s="281" t="s">
        <v>2</v>
      </c>
    </row>
    <row r="5" spans="1:2" ht="15" x14ac:dyDescent="0.25">
      <c r="A5" s="369" t="s">
        <v>3</v>
      </c>
      <c r="B5" s="370" t="s">
        <v>4</v>
      </c>
    </row>
    <row r="6" spans="1:2" ht="15" x14ac:dyDescent="0.25">
      <c r="A6" s="371" t="s">
        <v>5</v>
      </c>
      <c r="B6" s="372">
        <v>1</v>
      </c>
    </row>
    <row r="7" spans="1:2" ht="15" x14ac:dyDescent="0.25">
      <c r="A7" s="371" t="s">
        <v>6</v>
      </c>
      <c r="B7" s="372">
        <v>1</v>
      </c>
    </row>
    <row r="8" spans="1:2" ht="15" x14ac:dyDescent="0.25">
      <c r="A8" s="371" t="s">
        <v>7</v>
      </c>
      <c r="B8" s="372">
        <v>1.03</v>
      </c>
    </row>
    <row r="9" spans="1:2" ht="15" x14ac:dyDescent="0.25">
      <c r="A9" s="371" t="s">
        <v>8</v>
      </c>
      <c r="B9" s="372">
        <v>1.08</v>
      </c>
    </row>
    <row r="10" spans="1:2" ht="15" x14ac:dyDescent="0.25">
      <c r="A10" s="373" t="s">
        <v>9</v>
      </c>
      <c r="B10" s="374">
        <v>1.1499999999999999</v>
      </c>
    </row>
    <row r="13" spans="1:2" ht="15" x14ac:dyDescent="0.25">
      <c r="A13" s="380" t="s">
        <v>237</v>
      </c>
      <c r="B13" s="377" t="s">
        <v>241</v>
      </c>
    </row>
    <row r="14" spans="1:2" ht="15" x14ac:dyDescent="0.2">
      <c r="A14" s="378" t="s">
        <v>239</v>
      </c>
    </row>
    <row r="15" spans="1:2" ht="15" x14ac:dyDescent="0.2">
      <c r="A15" s="379" t="s">
        <v>240</v>
      </c>
    </row>
    <row r="16" spans="1:2" ht="15" x14ac:dyDescent="0.2">
      <c r="A16" s="378" t="s">
        <v>238</v>
      </c>
    </row>
    <row r="19" spans="1:1" x14ac:dyDescent="0.2">
      <c r="A19" s="278" t="s">
        <v>259</v>
      </c>
    </row>
    <row r="20" spans="1:1" x14ac:dyDescent="0.2">
      <c r="A20" s="278" t="s">
        <v>265</v>
      </c>
    </row>
    <row r="21" spans="1:1" x14ac:dyDescent="0.2">
      <c r="A21" s="278" t="s">
        <v>260</v>
      </c>
    </row>
    <row r="22" spans="1:1" x14ac:dyDescent="0.2">
      <c r="A22" s="278" t="s">
        <v>261</v>
      </c>
    </row>
    <row r="23" spans="1:1" x14ac:dyDescent="0.2">
      <c r="A23" s="278" t="s">
        <v>262</v>
      </c>
    </row>
    <row r="24" spans="1:1" x14ac:dyDescent="0.2">
      <c r="A24" s="278" t="s">
        <v>263</v>
      </c>
    </row>
    <row r="25" spans="1:1" x14ac:dyDescent="0.2">
      <c r="A25" s="278" t="s">
        <v>264</v>
      </c>
    </row>
  </sheetData>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37A8-CA3C-4BCF-8A51-4B75EBA0B136}">
  <sheetPr codeName="Sheet6">
    <tabColor theme="9" tint="-0.499984740745262"/>
    <pageSetUpPr fitToPage="1"/>
  </sheetPr>
  <dimension ref="A1:T53"/>
  <sheetViews>
    <sheetView showGridLines="0" tabSelected="1" zoomScale="70" zoomScaleNormal="70" workbookViewId="0"/>
  </sheetViews>
  <sheetFormatPr defaultRowHeight="15" x14ac:dyDescent="0.25"/>
  <cols>
    <col min="3" max="4" width="10.85546875" bestFit="1" customWidth="1"/>
    <col min="5" max="5" width="11.85546875" bestFit="1" customWidth="1"/>
    <col min="6" max="7" width="10.85546875" bestFit="1" customWidth="1"/>
    <col min="8" max="8" width="11.85546875" bestFit="1" customWidth="1"/>
    <col min="9" max="9" width="2.7109375" customWidth="1"/>
    <col min="10" max="11" width="11.7109375" customWidth="1"/>
    <col min="12" max="12" width="15.140625" customWidth="1"/>
    <col min="13" max="14" width="12" customWidth="1"/>
    <col min="15" max="15" width="14.28515625" customWidth="1"/>
    <col min="16" max="16" width="14" customWidth="1"/>
    <col min="19" max="19" width="11" customWidth="1"/>
    <col min="20" max="20" width="12.7109375" customWidth="1"/>
  </cols>
  <sheetData>
    <row r="1" spans="1:20" ht="26.25" x14ac:dyDescent="0.4">
      <c r="A1" s="272" t="s">
        <v>292</v>
      </c>
    </row>
    <row r="2" spans="1:20" x14ac:dyDescent="0.25">
      <c r="A2" s="266"/>
    </row>
    <row r="3" spans="1:20" ht="18.75" x14ac:dyDescent="0.3">
      <c r="A3" s="98" t="s">
        <v>10</v>
      </c>
      <c r="B3" s="82"/>
      <c r="E3" s="599" t="str">
        <f>CarrierName</f>
        <v>ABC Company</v>
      </c>
      <c r="F3" s="599"/>
      <c r="G3" s="599"/>
      <c r="H3" s="599"/>
      <c r="I3" s="599"/>
      <c r="J3" s="599"/>
      <c r="K3" s="599"/>
      <c r="L3" s="599"/>
      <c r="M3" s="599"/>
      <c r="N3" s="599"/>
      <c r="O3" s="599"/>
      <c r="P3" s="599"/>
      <c r="Q3" s="599"/>
      <c r="R3" s="599"/>
      <c r="S3" s="599"/>
      <c r="T3" s="599"/>
    </row>
    <row r="4" spans="1:20" ht="18.75" x14ac:dyDescent="0.3">
      <c r="A4" s="98" t="s">
        <v>0</v>
      </c>
      <c r="B4" s="82"/>
      <c r="E4" s="599" t="str">
        <f>Market</f>
        <v>Individual</v>
      </c>
      <c r="F4" s="599"/>
      <c r="G4" s="599"/>
      <c r="H4" s="599"/>
      <c r="I4" s="599"/>
      <c r="J4" s="599"/>
      <c r="K4" s="599"/>
      <c r="L4" s="599"/>
      <c r="M4" s="599"/>
      <c r="N4" s="599"/>
      <c r="O4" s="599"/>
      <c r="P4" s="599"/>
      <c r="Q4" s="599"/>
      <c r="R4" s="599"/>
      <c r="S4" s="599"/>
      <c r="T4" s="599"/>
    </row>
    <row r="5" spans="1:20" ht="18.75" x14ac:dyDescent="0.3">
      <c r="A5" s="98" t="s">
        <v>12</v>
      </c>
      <c r="B5" s="82"/>
      <c r="E5" s="599">
        <f>PlanYear</f>
        <v>2026</v>
      </c>
      <c r="F5" s="599"/>
      <c r="G5" s="599"/>
      <c r="H5" s="599"/>
      <c r="I5" s="599"/>
      <c r="J5" s="599"/>
      <c r="K5" s="599"/>
      <c r="L5" s="599"/>
      <c r="M5" s="599"/>
      <c r="N5" s="599"/>
      <c r="O5" s="599"/>
      <c r="P5" s="599"/>
      <c r="Q5" s="599"/>
      <c r="R5" s="599"/>
      <c r="S5" s="599"/>
      <c r="T5" s="599"/>
    </row>
    <row r="6" spans="1:20" ht="18.75" x14ac:dyDescent="0.3">
      <c r="A6" s="98" t="s">
        <v>13</v>
      </c>
      <c r="B6" s="82"/>
      <c r="E6" s="599">
        <f>ExperYear</f>
        <v>2024</v>
      </c>
      <c r="F6" s="599"/>
      <c r="G6" s="599"/>
      <c r="H6" s="599"/>
      <c r="I6" s="599"/>
      <c r="J6" s="599"/>
      <c r="K6" s="599"/>
      <c r="L6" s="599"/>
      <c r="M6" s="599"/>
      <c r="N6" s="599"/>
      <c r="O6" s="599"/>
      <c r="P6" s="599"/>
      <c r="Q6" s="599"/>
      <c r="R6" s="599"/>
      <c r="S6" s="599"/>
      <c r="T6" s="599"/>
    </row>
    <row r="7" spans="1:20" x14ac:dyDescent="0.25">
      <c r="A7" s="266"/>
    </row>
    <row r="8" spans="1:20" ht="18.75" x14ac:dyDescent="0.3">
      <c r="A8" s="50"/>
    </row>
    <row r="9" spans="1:20" ht="15" customHeight="1" x14ac:dyDescent="0.25">
      <c r="A9" s="428" t="str">
        <f>ExperYear&amp;" CLAIMS BUILD-UP, TOTAL"</f>
        <v>2024 CLAIMS BUILD-UP, TOTAL</v>
      </c>
      <c r="B9" s="429"/>
      <c r="C9" s="429"/>
      <c r="D9" s="429"/>
      <c r="E9" s="429"/>
      <c r="F9" s="429"/>
      <c r="G9" s="429"/>
      <c r="H9" s="429"/>
      <c r="I9" s="82"/>
      <c r="J9" s="428" t="str">
        <f>ExperYear&amp;" ULTIMATE ALLOWED CLAIMS, TOTAL"</f>
        <v>2024 ULTIMATE ALLOWED CLAIMS, TOTAL</v>
      </c>
      <c r="K9" s="429"/>
      <c r="L9" s="429"/>
      <c r="M9" s="429"/>
      <c r="N9" s="429"/>
      <c r="O9" s="429"/>
      <c r="P9" s="429"/>
      <c r="Q9" s="429"/>
      <c r="R9" s="429"/>
      <c r="S9" s="429"/>
      <c r="T9" s="429"/>
    </row>
    <row r="10" spans="1:20" ht="63" x14ac:dyDescent="0.25">
      <c r="A10" s="491" t="s">
        <v>136</v>
      </c>
      <c r="B10" s="491" t="s">
        <v>106</v>
      </c>
      <c r="C10" s="491" t="s">
        <v>137</v>
      </c>
      <c r="D10" s="491" t="s">
        <v>138</v>
      </c>
      <c r="E10" s="491" t="s">
        <v>139</v>
      </c>
      <c r="F10" s="491" t="s">
        <v>140</v>
      </c>
      <c r="G10" s="491" t="s">
        <v>141</v>
      </c>
      <c r="H10" s="491" t="s">
        <v>109</v>
      </c>
      <c r="I10" s="82"/>
      <c r="J10" s="491" t="s">
        <v>57</v>
      </c>
      <c r="K10" s="491" t="s">
        <v>59</v>
      </c>
      <c r="L10" s="491" t="s">
        <v>61</v>
      </c>
      <c r="M10" s="491" t="s">
        <v>142</v>
      </c>
      <c r="N10" s="491" t="s">
        <v>143</v>
      </c>
      <c r="O10" s="491" t="s">
        <v>144</v>
      </c>
      <c r="P10" s="491" t="s">
        <v>145</v>
      </c>
      <c r="Q10" s="491" t="s">
        <v>146</v>
      </c>
      <c r="R10" s="491" t="s">
        <v>147</v>
      </c>
      <c r="S10" s="491" t="s">
        <v>148</v>
      </c>
      <c r="T10" s="491" t="s">
        <v>149</v>
      </c>
    </row>
    <row r="11" spans="1:20" ht="15.75" x14ac:dyDescent="0.25">
      <c r="A11" s="305" t="str">
        <f>ExperYear&amp;"01"</f>
        <v>202401</v>
      </c>
      <c r="B11" s="492">
        <v>0</v>
      </c>
      <c r="C11" s="493">
        <v>0</v>
      </c>
      <c r="D11" s="494">
        <v>0</v>
      </c>
      <c r="E11" s="495">
        <f>C11+D11</f>
        <v>0</v>
      </c>
      <c r="F11" s="493">
        <v>0</v>
      </c>
      <c r="G11" s="494">
        <v>0</v>
      </c>
      <c r="H11" s="495">
        <f>F11+G11</f>
        <v>0</v>
      </c>
      <c r="I11" s="82"/>
      <c r="J11" s="493">
        <v>0</v>
      </c>
      <c r="K11" s="494">
        <v>0</v>
      </c>
      <c r="L11" s="494">
        <v>0</v>
      </c>
      <c r="M11" s="494">
        <v>0</v>
      </c>
      <c r="N11" s="494">
        <v>0</v>
      </c>
      <c r="O11" s="494">
        <v>0</v>
      </c>
      <c r="P11" s="494">
        <v>0</v>
      </c>
      <c r="Q11" s="496">
        <v>0</v>
      </c>
      <c r="R11" s="497">
        <f>S11-Q11</f>
        <v>0</v>
      </c>
      <c r="S11" s="497">
        <f>SUM(J11:Q11)</f>
        <v>0</v>
      </c>
      <c r="T11" s="498">
        <f>H11-S11</f>
        <v>0</v>
      </c>
    </row>
    <row r="12" spans="1:20" ht="15.75" x14ac:dyDescent="0.25">
      <c r="A12" s="499">
        <f>A11+1</f>
        <v>202402</v>
      </c>
      <c r="B12" s="500">
        <v>0</v>
      </c>
      <c r="C12" s="501">
        <v>0</v>
      </c>
      <c r="D12" s="502">
        <v>0</v>
      </c>
      <c r="E12" s="503">
        <f t="shared" ref="E12:E22" si="0">C12+D12</f>
        <v>0</v>
      </c>
      <c r="F12" s="501">
        <v>0</v>
      </c>
      <c r="G12" s="502">
        <v>0</v>
      </c>
      <c r="H12" s="503">
        <f t="shared" ref="H12:H22" si="1">F12+G12</f>
        <v>0</v>
      </c>
      <c r="I12" s="82"/>
      <c r="J12" s="501">
        <v>0</v>
      </c>
      <c r="K12" s="502">
        <v>0</v>
      </c>
      <c r="L12" s="502">
        <v>0</v>
      </c>
      <c r="M12" s="502">
        <v>0</v>
      </c>
      <c r="N12" s="502">
        <v>0</v>
      </c>
      <c r="O12" s="502">
        <v>0</v>
      </c>
      <c r="P12" s="502">
        <v>0</v>
      </c>
      <c r="Q12" s="504">
        <v>0</v>
      </c>
      <c r="R12" s="505">
        <f t="shared" ref="R12:R22" si="2">S12-Q12</f>
        <v>0</v>
      </c>
      <c r="S12" s="505">
        <f t="shared" ref="S12:S22" si="3">SUM(J12:Q12)</f>
        <v>0</v>
      </c>
      <c r="T12" s="506">
        <f t="shared" ref="T12:T22" si="4">H12-S12</f>
        <v>0</v>
      </c>
    </row>
    <row r="13" spans="1:20" ht="15.75" x14ac:dyDescent="0.25">
      <c r="A13" s="305">
        <f t="shared" ref="A13:A22" si="5">A12+1</f>
        <v>202403</v>
      </c>
      <c r="B13" s="507">
        <v>0</v>
      </c>
      <c r="C13" s="508">
        <v>0</v>
      </c>
      <c r="D13" s="509">
        <v>0</v>
      </c>
      <c r="E13" s="510">
        <f t="shared" si="0"/>
        <v>0</v>
      </c>
      <c r="F13" s="508">
        <v>0</v>
      </c>
      <c r="G13" s="509">
        <v>0</v>
      </c>
      <c r="H13" s="510">
        <f t="shared" si="1"/>
        <v>0</v>
      </c>
      <c r="I13" s="82"/>
      <c r="J13" s="508">
        <v>0</v>
      </c>
      <c r="K13" s="509">
        <v>0</v>
      </c>
      <c r="L13" s="509">
        <v>0</v>
      </c>
      <c r="M13" s="509">
        <v>0</v>
      </c>
      <c r="N13" s="509">
        <v>0</v>
      </c>
      <c r="O13" s="509">
        <v>0</v>
      </c>
      <c r="P13" s="509">
        <v>0</v>
      </c>
      <c r="Q13" s="511">
        <v>0</v>
      </c>
      <c r="R13" s="497">
        <f t="shared" si="2"/>
        <v>0</v>
      </c>
      <c r="S13" s="497">
        <f t="shared" si="3"/>
        <v>0</v>
      </c>
      <c r="T13" s="512">
        <f t="shared" si="4"/>
        <v>0</v>
      </c>
    </row>
    <row r="14" spans="1:20" ht="15.75" x14ac:dyDescent="0.25">
      <c r="A14" s="499">
        <f t="shared" si="5"/>
        <v>202404</v>
      </c>
      <c r="B14" s="500">
        <v>0</v>
      </c>
      <c r="C14" s="501">
        <v>0</v>
      </c>
      <c r="D14" s="502">
        <v>0</v>
      </c>
      <c r="E14" s="503">
        <f t="shared" si="0"/>
        <v>0</v>
      </c>
      <c r="F14" s="501">
        <v>0</v>
      </c>
      <c r="G14" s="502">
        <v>0</v>
      </c>
      <c r="H14" s="503">
        <f t="shared" si="1"/>
        <v>0</v>
      </c>
      <c r="I14" s="82"/>
      <c r="J14" s="501">
        <v>0</v>
      </c>
      <c r="K14" s="502">
        <v>0</v>
      </c>
      <c r="L14" s="502">
        <v>0</v>
      </c>
      <c r="M14" s="502">
        <v>0</v>
      </c>
      <c r="N14" s="502">
        <v>0</v>
      </c>
      <c r="O14" s="502">
        <v>0</v>
      </c>
      <c r="P14" s="502">
        <v>0</v>
      </c>
      <c r="Q14" s="504">
        <v>0</v>
      </c>
      <c r="R14" s="505">
        <f t="shared" si="2"/>
        <v>0</v>
      </c>
      <c r="S14" s="505">
        <f t="shared" si="3"/>
        <v>0</v>
      </c>
      <c r="T14" s="506">
        <f t="shared" si="4"/>
        <v>0</v>
      </c>
    </row>
    <row r="15" spans="1:20" ht="15.75" x14ac:dyDescent="0.25">
      <c r="A15" s="305">
        <f t="shared" si="5"/>
        <v>202405</v>
      </c>
      <c r="B15" s="507">
        <v>0</v>
      </c>
      <c r="C15" s="508">
        <v>0</v>
      </c>
      <c r="D15" s="509">
        <v>0</v>
      </c>
      <c r="E15" s="510">
        <f t="shared" si="0"/>
        <v>0</v>
      </c>
      <c r="F15" s="508">
        <v>0</v>
      </c>
      <c r="G15" s="509">
        <v>0</v>
      </c>
      <c r="H15" s="510">
        <f t="shared" si="1"/>
        <v>0</v>
      </c>
      <c r="I15" s="82"/>
      <c r="J15" s="508">
        <v>0</v>
      </c>
      <c r="K15" s="509">
        <v>0</v>
      </c>
      <c r="L15" s="509">
        <v>0</v>
      </c>
      <c r="M15" s="509">
        <v>0</v>
      </c>
      <c r="N15" s="509">
        <v>0</v>
      </c>
      <c r="O15" s="509">
        <v>0</v>
      </c>
      <c r="P15" s="509">
        <v>0</v>
      </c>
      <c r="Q15" s="511">
        <v>0</v>
      </c>
      <c r="R15" s="497">
        <f t="shared" si="2"/>
        <v>0</v>
      </c>
      <c r="S15" s="497">
        <f t="shared" si="3"/>
        <v>0</v>
      </c>
      <c r="T15" s="512">
        <f t="shared" si="4"/>
        <v>0</v>
      </c>
    </row>
    <row r="16" spans="1:20" ht="15.75" x14ac:dyDescent="0.25">
      <c r="A16" s="499">
        <f t="shared" si="5"/>
        <v>202406</v>
      </c>
      <c r="B16" s="500">
        <v>0</v>
      </c>
      <c r="C16" s="501">
        <v>0</v>
      </c>
      <c r="D16" s="502">
        <v>0</v>
      </c>
      <c r="E16" s="503">
        <f t="shared" si="0"/>
        <v>0</v>
      </c>
      <c r="F16" s="501">
        <v>0</v>
      </c>
      <c r="G16" s="502">
        <v>0</v>
      </c>
      <c r="H16" s="503">
        <f t="shared" si="1"/>
        <v>0</v>
      </c>
      <c r="I16" s="82"/>
      <c r="J16" s="501">
        <v>0</v>
      </c>
      <c r="K16" s="502">
        <v>0</v>
      </c>
      <c r="L16" s="502">
        <v>0</v>
      </c>
      <c r="M16" s="502">
        <v>0</v>
      </c>
      <c r="N16" s="502">
        <v>0</v>
      </c>
      <c r="O16" s="502">
        <v>0</v>
      </c>
      <c r="P16" s="502">
        <v>0</v>
      </c>
      <c r="Q16" s="504">
        <v>0</v>
      </c>
      <c r="R16" s="505">
        <f t="shared" si="2"/>
        <v>0</v>
      </c>
      <c r="S16" s="505">
        <f t="shared" si="3"/>
        <v>0</v>
      </c>
      <c r="T16" s="506">
        <f t="shared" si="4"/>
        <v>0</v>
      </c>
    </row>
    <row r="17" spans="1:20" ht="15.75" x14ac:dyDescent="0.25">
      <c r="A17" s="305">
        <f t="shared" si="5"/>
        <v>202407</v>
      </c>
      <c r="B17" s="507">
        <v>0</v>
      </c>
      <c r="C17" s="508">
        <v>0</v>
      </c>
      <c r="D17" s="509">
        <v>0</v>
      </c>
      <c r="E17" s="510">
        <f t="shared" si="0"/>
        <v>0</v>
      </c>
      <c r="F17" s="508">
        <v>0</v>
      </c>
      <c r="G17" s="509">
        <v>0</v>
      </c>
      <c r="H17" s="510">
        <f t="shared" si="1"/>
        <v>0</v>
      </c>
      <c r="I17" s="82"/>
      <c r="J17" s="508">
        <v>0</v>
      </c>
      <c r="K17" s="509">
        <v>0</v>
      </c>
      <c r="L17" s="509">
        <v>0</v>
      </c>
      <c r="M17" s="509">
        <v>0</v>
      </c>
      <c r="N17" s="509">
        <v>0</v>
      </c>
      <c r="O17" s="509">
        <v>0</v>
      </c>
      <c r="P17" s="509">
        <v>0</v>
      </c>
      <c r="Q17" s="511">
        <v>0</v>
      </c>
      <c r="R17" s="497">
        <f t="shared" si="2"/>
        <v>0</v>
      </c>
      <c r="S17" s="497">
        <f t="shared" si="3"/>
        <v>0</v>
      </c>
      <c r="T17" s="512">
        <f t="shared" si="4"/>
        <v>0</v>
      </c>
    </row>
    <row r="18" spans="1:20" ht="15.75" x14ac:dyDescent="0.25">
      <c r="A18" s="499">
        <f t="shared" si="5"/>
        <v>202408</v>
      </c>
      <c r="B18" s="500">
        <v>0</v>
      </c>
      <c r="C18" s="501">
        <v>0</v>
      </c>
      <c r="D18" s="502">
        <v>0</v>
      </c>
      <c r="E18" s="503">
        <f t="shared" si="0"/>
        <v>0</v>
      </c>
      <c r="F18" s="501">
        <v>0</v>
      </c>
      <c r="G18" s="502">
        <v>0</v>
      </c>
      <c r="H18" s="503">
        <f t="shared" si="1"/>
        <v>0</v>
      </c>
      <c r="I18" s="82"/>
      <c r="J18" s="501">
        <v>0</v>
      </c>
      <c r="K18" s="502">
        <v>0</v>
      </c>
      <c r="L18" s="502">
        <v>0</v>
      </c>
      <c r="M18" s="502">
        <v>0</v>
      </c>
      <c r="N18" s="502">
        <v>0</v>
      </c>
      <c r="O18" s="502">
        <v>0</v>
      </c>
      <c r="P18" s="502">
        <v>0</v>
      </c>
      <c r="Q18" s="504">
        <v>0</v>
      </c>
      <c r="R18" s="505">
        <f t="shared" si="2"/>
        <v>0</v>
      </c>
      <c r="S18" s="505">
        <f t="shared" si="3"/>
        <v>0</v>
      </c>
      <c r="T18" s="506">
        <f t="shared" si="4"/>
        <v>0</v>
      </c>
    </row>
    <row r="19" spans="1:20" ht="15.75" x14ac:dyDescent="0.25">
      <c r="A19" s="305">
        <f t="shared" si="5"/>
        <v>202409</v>
      </c>
      <c r="B19" s="507">
        <v>0</v>
      </c>
      <c r="C19" s="508">
        <v>0</v>
      </c>
      <c r="D19" s="509">
        <v>0</v>
      </c>
      <c r="E19" s="510">
        <f t="shared" si="0"/>
        <v>0</v>
      </c>
      <c r="F19" s="508">
        <v>0</v>
      </c>
      <c r="G19" s="509">
        <v>0</v>
      </c>
      <c r="H19" s="510">
        <f t="shared" si="1"/>
        <v>0</v>
      </c>
      <c r="I19" s="82"/>
      <c r="J19" s="508">
        <v>0</v>
      </c>
      <c r="K19" s="509">
        <v>0</v>
      </c>
      <c r="L19" s="509">
        <v>0</v>
      </c>
      <c r="M19" s="509">
        <v>0</v>
      </c>
      <c r="N19" s="509">
        <v>0</v>
      </c>
      <c r="O19" s="509">
        <v>0</v>
      </c>
      <c r="P19" s="509">
        <v>0</v>
      </c>
      <c r="Q19" s="511">
        <v>0</v>
      </c>
      <c r="R19" s="497">
        <f t="shared" si="2"/>
        <v>0</v>
      </c>
      <c r="S19" s="497">
        <f t="shared" si="3"/>
        <v>0</v>
      </c>
      <c r="T19" s="512">
        <f t="shared" si="4"/>
        <v>0</v>
      </c>
    </row>
    <row r="20" spans="1:20" ht="15.75" x14ac:dyDescent="0.25">
      <c r="A20" s="499">
        <f t="shared" si="5"/>
        <v>202410</v>
      </c>
      <c r="B20" s="500">
        <v>0</v>
      </c>
      <c r="C20" s="501">
        <v>0</v>
      </c>
      <c r="D20" s="502">
        <v>0</v>
      </c>
      <c r="E20" s="503">
        <f t="shared" si="0"/>
        <v>0</v>
      </c>
      <c r="F20" s="501">
        <v>0</v>
      </c>
      <c r="G20" s="502">
        <v>0</v>
      </c>
      <c r="H20" s="503">
        <f t="shared" si="1"/>
        <v>0</v>
      </c>
      <c r="I20" s="82"/>
      <c r="J20" s="501">
        <v>0</v>
      </c>
      <c r="K20" s="502">
        <v>0</v>
      </c>
      <c r="L20" s="502">
        <v>0</v>
      </c>
      <c r="M20" s="502">
        <v>0</v>
      </c>
      <c r="N20" s="502">
        <v>0</v>
      </c>
      <c r="O20" s="502">
        <v>0</v>
      </c>
      <c r="P20" s="502">
        <v>0</v>
      </c>
      <c r="Q20" s="504">
        <v>0</v>
      </c>
      <c r="R20" s="505">
        <f t="shared" si="2"/>
        <v>0</v>
      </c>
      <c r="S20" s="505">
        <f t="shared" si="3"/>
        <v>0</v>
      </c>
      <c r="T20" s="506">
        <f t="shared" si="4"/>
        <v>0</v>
      </c>
    </row>
    <row r="21" spans="1:20" ht="15.75" x14ac:dyDescent="0.25">
      <c r="A21" s="305">
        <f t="shared" si="5"/>
        <v>202411</v>
      </c>
      <c r="B21" s="507">
        <v>0</v>
      </c>
      <c r="C21" s="508">
        <v>0</v>
      </c>
      <c r="D21" s="509">
        <v>0</v>
      </c>
      <c r="E21" s="510">
        <f t="shared" si="0"/>
        <v>0</v>
      </c>
      <c r="F21" s="508">
        <v>0</v>
      </c>
      <c r="G21" s="509">
        <v>0</v>
      </c>
      <c r="H21" s="510">
        <f t="shared" si="1"/>
        <v>0</v>
      </c>
      <c r="I21" s="82"/>
      <c r="J21" s="508">
        <v>0</v>
      </c>
      <c r="K21" s="509">
        <v>0</v>
      </c>
      <c r="L21" s="509">
        <v>0</v>
      </c>
      <c r="M21" s="509">
        <v>0</v>
      </c>
      <c r="N21" s="509">
        <v>0</v>
      </c>
      <c r="O21" s="509">
        <v>0</v>
      </c>
      <c r="P21" s="509">
        <v>0</v>
      </c>
      <c r="Q21" s="511">
        <v>0</v>
      </c>
      <c r="R21" s="497">
        <f t="shared" si="2"/>
        <v>0</v>
      </c>
      <c r="S21" s="497">
        <f t="shared" si="3"/>
        <v>0</v>
      </c>
      <c r="T21" s="512">
        <f t="shared" si="4"/>
        <v>0</v>
      </c>
    </row>
    <row r="22" spans="1:20" ht="15.75" x14ac:dyDescent="0.25">
      <c r="A22" s="513">
        <f t="shared" si="5"/>
        <v>202412</v>
      </c>
      <c r="B22" s="514">
        <v>0</v>
      </c>
      <c r="C22" s="515">
        <v>0</v>
      </c>
      <c r="D22" s="516">
        <v>0</v>
      </c>
      <c r="E22" s="517">
        <f t="shared" si="0"/>
        <v>0</v>
      </c>
      <c r="F22" s="515">
        <v>0</v>
      </c>
      <c r="G22" s="516">
        <v>0</v>
      </c>
      <c r="H22" s="517">
        <f t="shared" si="1"/>
        <v>0</v>
      </c>
      <c r="I22" s="82"/>
      <c r="J22" s="515">
        <v>0</v>
      </c>
      <c r="K22" s="516">
        <v>0</v>
      </c>
      <c r="L22" s="516">
        <v>0</v>
      </c>
      <c r="M22" s="516">
        <v>0</v>
      </c>
      <c r="N22" s="516">
        <v>0</v>
      </c>
      <c r="O22" s="516">
        <v>0</v>
      </c>
      <c r="P22" s="516">
        <v>0</v>
      </c>
      <c r="Q22" s="518">
        <v>0</v>
      </c>
      <c r="R22" s="519">
        <f t="shared" si="2"/>
        <v>0</v>
      </c>
      <c r="S22" s="519">
        <f t="shared" si="3"/>
        <v>0</v>
      </c>
      <c r="T22" s="520">
        <f t="shared" si="4"/>
        <v>0</v>
      </c>
    </row>
    <row r="23" spans="1:20" ht="15.75" x14ac:dyDescent="0.25">
      <c r="A23" s="305" t="str">
        <f>"CY"&amp;ExperYear</f>
        <v>CY2024</v>
      </c>
      <c r="B23" s="521">
        <f t="shared" ref="B23:H23" si="6">SUM(B11:B22)</f>
        <v>0</v>
      </c>
      <c r="C23" s="522">
        <f t="shared" si="6"/>
        <v>0</v>
      </c>
      <c r="D23" s="497">
        <f t="shared" si="6"/>
        <v>0</v>
      </c>
      <c r="E23" s="510">
        <f t="shared" si="6"/>
        <v>0</v>
      </c>
      <c r="F23" s="522">
        <f t="shared" si="6"/>
        <v>0</v>
      </c>
      <c r="G23" s="497">
        <f t="shared" si="6"/>
        <v>0</v>
      </c>
      <c r="H23" s="510">
        <f t="shared" si="6"/>
        <v>0</v>
      </c>
      <c r="I23" s="82"/>
      <c r="J23" s="522">
        <f>SUM(J11:J22)</f>
        <v>0</v>
      </c>
      <c r="K23" s="497">
        <f t="shared" ref="K23:Q23" si="7">SUM(K11:K22)</f>
        <v>0</v>
      </c>
      <c r="L23" s="497">
        <f t="shared" si="7"/>
        <v>0</v>
      </c>
      <c r="M23" s="497">
        <f t="shared" si="7"/>
        <v>0</v>
      </c>
      <c r="N23" s="497">
        <f t="shared" si="7"/>
        <v>0</v>
      </c>
      <c r="O23" s="497">
        <f t="shared" si="7"/>
        <v>0</v>
      </c>
      <c r="P23" s="523">
        <f t="shared" si="7"/>
        <v>0</v>
      </c>
      <c r="Q23" s="510">
        <f t="shared" si="7"/>
        <v>0</v>
      </c>
      <c r="R23" s="497">
        <f>S23-Q23</f>
        <v>0</v>
      </c>
      <c r="S23" s="497">
        <f>SUM(J23:Q23)</f>
        <v>0</v>
      </c>
      <c r="T23" s="512">
        <f>H23-S23</f>
        <v>0</v>
      </c>
    </row>
    <row r="24" spans="1:20" ht="15.75" x14ac:dyDescent="0.25">
      <c r="A24" s="82"/>
      <c r="B24" s="82"/>
      <c r="C24" s="82"/>
      <c r="D24" s="82"/>
      <c r="E24" s="82"/>
      <c r="F24" s="82"/>
      <c r="G24" s="82"/>
      <c r="H24" s="82"/>
      <c r="I24" s="82"/>
      <c r="J24" s="82"/>
      <c r="K24" s="82"/>
      <c r="L24" s="82"/>
      <c r="M24" s="82"/>
      <c r="N24" s="82"/>
      <c r="O24" s="82"/>
      <c r="P24" s="82"/>
      <c r="Q24" s="82"/>
      <c r="R24" s="82"/>
      <c r="S24" s="82"/>
      <c r="T24" s="82"/>
    </row>
    <row r="25" spans="1:20" ht="15.75" x14ac:dyDescent="0.25">
      <c r="A25" s="77"/>
      <c r="B25" s="82"/>
      <c r="C25" s="82"/>
      <c r="D25" s="82"/>
      <c r="E25" s="82"/>
      <c r="F25" s="82"/>
      <c r="G25" s="82"/>
      <c r="H25" s="82"/>
      <c r="I25" s="82"/>
      <c r="J25" s="82"/>
      <c r="K25" s="82"/>
      <c r="L25" s="82"/>
      <c r="M25" s="82"/>
      <c r="N25" s="82"/>
      <c r="O25" s="82"/>
      <c r="P25" s="82"/>
      <c r="Q25" s="82"/>
      <c r="R25" s="82"/>
      <c r="S25" s="82"/>
      <c r="T25" s="82"/>
    </row>
    <row r="26" spans="1:20" ht="15" customHeight="1" x14ac:dyDescent="0.25">
      <c r="A26" s="428" t="str">
        <f>ExperYear&amp;" CLAIMS BUILD-UP, PMPM"</f>
        <v>2024 CLAIMS BUILD-UP, PMPM</v>
      </c>
      <c r="B26" s="429"/>
      <c r="C26" s="429"/>
      <c r="D26" s="429"/>
      <c r="E26" s="429"/>
      <c r="F26" s="429"/>
      <c r="G26" s="429"/>
      <c r="H26" s="429"/>
      <c r="I26" s="82"/>
      <c r="J26" s="428" t="str">
        <f>ExperYear&amp;" ULTIMATE ALLOWED CLAIMS, PMPM"</f>
        <v>2024 ULTIMATE ALLOWED CLAIMS, PMPM</v>
      </c>
      <c r="K26" s="429"/>
      <c r="L26" s="429"/>
      <c r="M26" s="429"/>
      <c r="N26" s="429"/>
      <c r="O26" s="429"/>
      <c r="P26" s="429"/>
      <c r="Q26" s="429"/>
      <c r="R26" s="429"/>
      <c r="S26" s="429"/>
      <c r="T26" s="429"/>
    </row>
    <row r="27" spans="1:20" ht="63" x14ac:dyDescent="0.25">
      <c r="A27" s="491" t="s">
        <v>136</v>
      </c>
      <c r="B27" s="491" t="s">
        <v>106</v>
      </c>
      <c r="C27" s="491" t="s">
        <v>137</v>
      </c>
      <c r="D27" s="491" t="s">
        <v>138</v>
      </c>
      <c r="E27" s="491" t="s">
        <v>139</v>
      </c>
      <c r="F27" s="491" t="s">
        <v>140</v>
      </c>
      <c r="G27" s="491" t="s">
        <v>141</v>
      </c>
      <c r="H27" s="491" t="s">
        <v>109</v>
      </c>
      <c r="I27" s="82"/>
      <c r="J27" s="491" t="s">
        <v>57</v>
      </c>
      <c r="K27" s="491" t="s">
        <v>59</v>
      </c>
      <c r="L27" s="491" t="s">
        <v>61</v>
      </c>
      <c r="M27" s="491" t="s">
        <v>142</v>
      </c>
      <c r="N27" s="491" t="s">
        <v>143</v>
      </c>
      <c r="O27" s="491" t="s">
        <v>144</v>
      </c>
      <c r="P27" s="491" t="s">
        <v>145</v>
      </c>
      <c r="Q27" s="491" t="s">
        <v>146</v>
      </c>
      <c r="R27" s="491" t="s">
        <v>147</v>
      </c>
      <c r="S27" s="491" t="s">
        <v>148</v>
      </c>
      <c r="T27" s="491" t="s">
        <v>149</v>
      </c>
    </row>
    <row r="28" spans="1:20" ht="15.75" x14ac:dyDescent="0.25">
      <c r="A28" s="305" t="str">
        <f>A11</f>
        <v>202401</v>
      </c>
      <c r="B28" s="524"/>
      <c r="C28" s="525" t="str">
        <f t="shared" ref="C28:H29" si="8">IFERROR(C11/$B11,"-")</f>
        <v>-</v>
      </c>
      <c r="D28" s="526" t="str">
        <f t="shared" si="8"/>
        <v>-</v>
      </c>
      <c r="E28" s="527" t="str">
        <f t="shared" si="8"/>
        <v>-</v>
      </c>
      <c r="F28" s="525" t="str">
        <f t="shared" si="8"/>
        <v>-</v>
      </c>
      <c r="G28" s="526" t="str">
        <f t="shared" si="8"/>
        <v>-</v>
      </c>
      <c r="H28" s="527" t="str">
        <f t="shared" si="8"/>
        <v>-</v>
      </c>
      <c r="I28" s="528"/>
      <c r="J28" s="525" t="str">
        <f t="shared" ref="J28:T28" si="9">IFERROR(J11/$B11,"-")</f>
        <v>-</v>
      </c>
      <c r="K28" s="526" t="str">
        <f t="shared" si="9"/>
        <v>-</v>
      </c>
      <c r="L28" s="526" t="str">
        <f t="shared" si="9"/>
        <v>-</v>
      </c>
      <c r="M28" s="526" t="str">
        <f t="shared" si="9"/>
        <v>-</v>
      </c>
      <c r="N28" s="526" t="str">
        <f t="shared" si="9"/>
        <v>-</v>
      </c>
      <c r="O28" s="526" t="str">
        <f t="shared" si="9"/>
        <v>-</v>
      </c>
      <c r="P28" s="526" t="str">
        <f t="shared" si="9"/>
        <v>-</v>
      </c>
      <c r="Q28" s="527" t="str">
        <f t="shared" si="9"/>
        <v>-</v>
      </c>
      <c r="R28" s="525" t="str">
        <f t="shared" si="9"/>
        <v>-</v>
      </c>
      <c r="S28" s="527" t="str">
        <f t="shared" si="9"/>
        <v>-</v>
      </c>
      <c r="T28" s="529" t="str">
        <f t="shared" si="9"/>
        <v>-</v>
      </c>
    </row>
    <row r="29" spans="1:20" ht="15.75" x14ac:dyDescent="0.25">
      <c r="A29" s="499">
        <f t="shared" ref="A29:A39" si="10">A12</f>
        <v>202402</v>
      </c>
      <c r="B29" s="530"/>
      <c r="C29" s="531" t="str">
        <f t="shared" si="8"/>
        <v>-</v>
      </c>
      <c r="D29" s="532" t="str">
        <f t="shared" si="8"/>
        <v>-</v>
      </c>
      <c r="E29" s="533" t="str">
        <f t="shared" si="8"/>
        <v>-</v>
      </c>
      <c r="F29" s="531" t="str">
        <f t="shared" si="8"/>
        <v>-</v>
      </c>
      <c r="G29" s="532" t="str">
        <f t="shared" si="8"/>
        <v>-</v>
      </c>
      <c r="H29" s="533" t="str">
        <f t="shared" si="8"/>
        <v>-</v>
      </c>
      <c r="I29" s="528"/>
      <c r="J29" s="531" t="str">
        <f t="shared" ref="J29:T29" si="11">IFERROR(J12/$B12,"-")</f>
        <v>-</v>
      </c>
      <c r="K29" s="532" t="str">
        <f t="shared" si="11"/>
        <v>-</v>
      </c>
      <c r="L29" s="532" t="str">
        <f t="shared" si="11"/>
        <v>-</v>
      </c>
      <c r="M29" s="532" t="str">
        <f t="shared" si="11"/>
        <v>-</v>
      </c>
      <c r="N29" s="532" t="str">
        <f t="shared" si="11"/>
        <v>-</v>
      </c>
      <c r="O29" s="532" t="str">
        <f t="shared" si="11"/>
        <v>-</v>
      </c>
      <c r="P29" s="532" t="str">
        <f t="shared" si="11"/>
        <v>-</v>
      </c>
      <c r="Q29" s="533" t="str">
        <f t="shared" si="11"/>
        <v>-</v>
      </c>
      <c r="R29" s="531" t="str">
        <f t="shared" si="11"/>
        <v>-</v>
      </c>
      <c r="S29" s="533" t="str">
        <f t="shared" si="11"/>
        <v>-</v>
      </c>
      <c r="T29" s="534" t="str">
        <f t="shared" si="11"/>
        <v>-</v>
      </c>
    </row>
    <row r="30" spans="1:20" ht="15.75" x14ac:dyDescent="0.25">
      <c r="A30" s="305">
        <f t="shared" si="10"/>
        <v>202403</v>
      </c>
      <c r="B30" s="535"/>
      <c r="C30" s="536" t="str">
        <f t="shared" ref="C30:D40" si="12">IFERROR(C13/$B13,"-")</f>
        <v>-</v>
      </c>
      <c r="D30" s="537" t="str">
        <f t="shared" si="12"/>
        <v>-</v>
      </c>
      <c r="E30" s="538" t="str">
        <f t="shared" ref="E30:H30" si="13">IFERROR(E13/$B13,"-")</f>
        <v>-</v>
      </c>
      <c r="F30" s="536" t="str">
        <f t="shared" si="13"/>
        <v>-</v>
      </c>
      <c r="G30" s="537" t="str">
        <f t="shared" si="13"/>
        <v>-</v>
      </c>
      <c r="H30" s="538" t="str">
        <f t="shared" si="13"/>
        <v>-</v>
      </c>
      <c r="I30" s="528"/>
      <c r="J30" s="536" t="str">
        <f t="shared" ref="J30:T30" si="14">IFERROR(J13/$B13,"-")</f>
        <v>-</v>
      </c>
      <c r="K30" s="537" t="str">
        <f t="shared" si="14"/>
        <v>-</v>
      </c>
      <c r="L30" s="537" t="str">
        <f t="shared" si="14"/>
        <v>-</v>
      </c>
      <c r="M30" s="537" t="str">
        <f t="shared" si="14"/>
        <v>-</v>
      </c>
      <c r="N30" s="537" t="str">
        <f t="shared" si="14"/>
        <v>-</v>
      </c>
      <c r="O30" s="537" t="str">
        <f t="shared" si="14"/>
        <v>-</v>
      </c>
      <c r="P30" s="537" t="str">
        <f t="shared" si="14"/>
        <v>-</v>
      </c>
      <c r="Q30" s="538" t="str">
        <f t="shared" si="14"/>
        <v>-</v>
      </c>
      <c r="R30" s="536" t="str">
        <f t="shared" si="14"/>
        <v>-</v>
      </c>
      <c r="S30" s="538" t="str">
        <f t="shared" si="14"/>
        <v>-</v>
      </c>
      <c r="T30" s="539" t="str">
        <f t="shared" si="14"/>
        <v>-</v>
      </c>
    </row>
    <row r="31" spans="1:20" ht="15.75" x14ac:dyDescent="0.25">
      <c r="A31" s="499">
        <f t="shared" si="10"/>
        <v>202404</v>
      </c>
      <c r="B31" s="530"/>
      <c r="C31" s="531" t="str">
        <f t="shared" si="12"/>
        <v>-</v>
      </c>
      <c r="D31" s="532" t="str">
        <f t="shared" si="12"/>
        <v>-</v>
      </c>
      <c r="E31" s="533" t="str">
        <f t="shared" ref="E31:H31" si="15">IFERROR(E14/$B14,"-")</f>
        <v>-</v>
      </c>
      <c r="F31" s="531" t="str">
        <f t="shared" si="15"/>
        <v>-</v>
      </c>
      <c r="G31" s="532" t="str">
        <f t="shared" si="15"/>
        <v>-</v>
      </c>
      <c r="H31" s="533" t="str">
        <f t="shared" si="15"/>
        <v>-</v>
      </c>
      <c r="I31" s="528"/>
      <c r="J31" s="531" t="str">
        <f t="shared" ref="J31:T31" si="16">IFERROR(J14/$B14,"-")</f>
        <v>-</v>
      </c>
      <c r="K31" s="532" t="str">
        <f t="shared" si="16"/>
        <v>-</v>
      </c>
      <c r="L31" s="532" t="str">
        <f t="shared" si="16"/>
        <v>-</v>
      </c>
      <c r="M31" s="532" t="str">
        <f t="shared" si="16"/>
        <v>-</v>
      </c>
      <c r="N31" s="532" t="str">
        <f t="shared" si="16"/>
        <v>-</v>
      </c>
      <c r="O31" s="532" t="str">
        <f t="shared" si="16"/>
        <v>-</v>
      </c>
      <c r="P31" s="532" t="str">
        <f t="shared" si="16"/>
        <v>-</v>
      </c>
      <c r="Q31" s="533" t="str">
        <f t="shared" si="16"/>
        <v>-</v>
      </c>
      <c r="R31" s="531" t="str">
        <f t="shared" si="16"/>
        <v>-</v>
      </c>
      <c r="S31" s="533" t="str">
        <f t="shared" si="16"/>
        <v>-</v>
      </c>
      <c r="T31" s="534" t="str">
        <f t="shared" si="16"/>
        <v>-</v>
      </c>
    </row>
    <row r="32" spans="1:20" ht="15.75" x14ac:dyDescent="0.25">
      <c r="A32" s="305">
        <f t="shared" si="10"/>
        <v>202405</v>
      </c>
      <c r="B32" s="535"/>
      <c r="C32" s="536" t="str">
        <f t="shared" si="12"/>
        <v>-</v>
      </c>
      <c r="D32" s="537" t="str">
        <f t="shared" si="12"/>
        <v>-</v>
      </c>
      <c r="E32" s="538" t="str">
        <f t="shared" ref="E32:H32" si="17">IFERROR(E15/$B15,"-")</f>
        <v>-</v>
      </c>
      <c r="F32" s="536" t="str">
        <f t="shared" si="17"/>
        <v>-</v>
      </c>
      <c r="G32" s="537" t="str">
        <f t="shared" si="17"/>
        <v>-</v>
      </c>
      <c r="H32" s="538" t="str">
        <f t="shared" si="17"/>
        <v>-</v>
      </c>
      <c r="I32" s="528"/>
      <c r="J32" s="536" t="str">
        <f t="shared" ref="J32:T32" si="18">IFERROR(J15/$B15,"-")</f>
        <v>-</v>
      </c>
      <c r="K32" s="537" t="str">
        <f t="shared" si="18"/>
        <v>-</v>
      </c>
      <c r="L32" s="537" t="str">
        <f t="shared" si="18"/>
        <v>-</v>
      </c>
      <c r="M32" s="537" t="str">
        <f t="shared" si="18"/>
        <v>-</v>
      </c>
      <c r="N32" s="537" t="str">
        <f t="shared" si="18"/>
        <v>-</v>
      </c>
      <c r="O32" s="537" t="str">
        <f t="shared" si="18"/>
        <v>-</v>
      </c>
      <c r="P32" s="537" t="str">
        <f t="shared" si="18"/>
        <v>-</v>
      </c>
      <c r="Q32" s="538" t="str">
        <f t="shared" si="18"/>
        <v>-</v>
      </c>
      <c r="R32" s="536" t="str">
        <f t="shared" si="18"/>
        <v>-</v>
      </c>
      <c r="S32" s="538" t="str">
        <f t="shared" si="18"/>
        <v>-</v>
      </c>
      <c r="T32" s="539" t="str">
        <f t="shared" si="18"/>
        <v>-</v>
      </c>
    </row>
    <row r="33" spans="1:20" ht="15.75" x14ac:dyDescent="0.25">
      <c r="A33" s="499">
        <f t="shared" si="10"/>
        <v>202406</v>
      </c>
      <c r="B33" s="530"/>
      <c r="C33" s="531" t="str">
        <f t="shared" si="12"/>
        <v>-</v>
      </c>
      <c r="D33" s="532" t="str">
        <f t="shared" si="12"/>
        <v>-</v>
      </c>
      <c r="E33" s="533" t="str">
        <f t="shared" ref="E33:H33" si="19">IFERROR(E16/$B16,"-")</f>
        <v>-</v>
      </c>
      <c r="F33" s="531" t="str">
        <f t="shared" si="19"/>
        <v>-</v>
      </c>
      <c r="G33" s="532" t="str">
        <f t="shared" si="19"/>
        <v>-</v>
      </c>
      <c r="H33" s="533" t="str">
        <f t="shared" si="19"/>
        <v>-</v>
      </c>
      <c r="I33" s="528"/>
      <c r="J33" s="531" t="str">
        <f t="shared" ref="J33:T33" si="20">IFERROR(J16/$B16,"-")</f>
        <v>-</v>
      </c>
      <c r="K33" s="532" t="str">
        <f t="shared" si="20"/>
        <v>-</v>
      </c>
      <c r="L33" s="532" t="str">
        <f t="shared" si="20"/>
        <v>-</v>
      </c>
      <c r="M33" s="532" t="str">
        <f t="shared" si="20"/>
        <v>-</v>
      </c>
      <c r="N33" s="532" t="str">
        <f t="shared" si="20"/>
        <v>-</v>
      </c>
      <c r="O33" s="532" t="str">
        <f t="shared" si="20"/>
        <v>-</v>
      </c>
      <c r="P33" s="532" t="str">
        <f t="shared" si="20"/>
        <v>-</v>
      </c>
      <c r="Q33" s="533" t="str">
        <f t="shared" si="20"/>
        <v>-</v>
      </c>
      <c r="R33" s="531" t="str">
        <f t="shared" si="20"/>
        <v>-</v>
      </c>
      <c r="S33" s="533" t="str">
        <f t="shared" si="20"/>
        <v>-</v>
      </c>
      <c r="T33" s="534" t="str">
        <f t="shared" si="20"/>
        <v>-</v>
      </c>
    </row>
    <row r="34" spans="1:20" ht="15.75" x14ac:dyDescent="0.25">
      <c r="A34" s="305">
        <f t="shared" si="10"/>
        <v>202407</v>
      </c>
      <c r="B34" s="535"/>
      <c r="C34" s="536" t="str">
        <f t="shared" si="12"/>
        <v>-</v>
      </c>
      <c r="D34" s="537" t="str">
        <f t="shared" si="12"/>
        <v>-</v>
      </c>
      <c r="E34" s="538" t="str">
        <f t="shared" ref="E34:H34" si="21">IFERROR(E17/$B17,"-")</f>
        <v>-</v>
      </c>
      <c r="F34" s="536" t="str">
        <f t="shared" si="21"/>
        <v>-</v>
      </c>
      <c r="G34" s="537" t="str">
        <f t="shared" si="21"/>
        <v>-</v>
      </c>
      <c r="H34" s="538" t="str">
        <f t="shared" si="21"/>
        <v>-</v>
      </c>
      <c r="I34" s="528"/>
      <c r="J34" s="536" t="str">
        <f t="shared" ref="J34:T34" si="22">IFERROR(J17/$B17,"-")</f>
        <v>-</v>
      </c>
      <c r="K34" s="537" t="str">
        <f t="shared" si="22"/>
        <v>-</v>
      </c>
      <c r="L34" s="537" t="str">
        <f t="shared" si="22"/>
        <v>-</v>
      </c>
      <c r="M34" s="537" t="str">
        <f t="shared" si="22"/>
        <v>-</v>
      </c>
      <c r="N34" s="537" t="str">
        <f t="shared" si="22"/>
        <v>-</v>
      </c>
      <c r="O34" s="537" t="str">
        <f t="shared" si="22"/>
        <v>-</v>
      </c>
      <c r="P34" s="537" t="str">
        <f t="shared" si="22"/>
        <v>-</v>
      </c>
      <c r="Q34" s="538" t="str">
        <f t="shared" si="22"/>
        <v>-</v>
      </c>
      <c r="R34" s="536" t="str">
        <f t="shared" si="22"/>
        <v>-</v>
      </c>
      <c r="S34" s="538" t="str">
        <f t="shared" si="22"/>
        <v>-</v>
      </c>
      <c r="T34" s="539" t="str">
        <f t="shared" si="22"/>
        <v>-</v>
      </c>
    </row>
    <row r="35" spans="1:20" ht="15.75" x14ac:dyDescent="0.25">
      <c r="A35" s="499">
        <f t="shared" si="10"/>
        <v>202408</v>
      </c>
      <c r="B35" s="530"/>
      <c r="C35" s="531" t="str">
        <f t="shared" si="12"/>
        <v>-</v>
      </c>
      <c r="D35" s="532" t="str">
        <f t="shared" si="12"/>
        <v>-</v>
      </c>
      <c r="E35" s="533" t="str">
        <f t="shared" ref="E35:H35" si="23">IFERROR(E18/$B18,"-")</f>
        <v>-</v>
      </c>
      <c r="F35" s="531" t="str">
        <f t="shared" si="23"/>
        <v>-</v>
      </c>
      <c r="G35" s="532" t="str">
        <f t="shared" si="23"/>
        <v>-</v>
      </c>
      <c r="H35" s="533" t="str">
        <f t="shared" si="23"/>
        <v>-</v>
      </c>
      <c r="I35" s="528"/>
      <c r="J35" s="531" t="str">
        <f t="shared" ref="J35:T35" si="24">IFERROR(J18/$B18,"-")</f>
        <v>-</v>
      </c>
      <c r="K35" s="532" t="str">
        <f t="shared" si="24"/>
        <v>-</v>
      </c>
      <c r="L35" s="532" t="str">
        <f t="shared" si="24"/>
        <v>-</v>
      </c>
      <c r="M35" s="532" t="str">
        <f t="shared" si="24"/>
        <v>-</v>
      </c>
      <c r="N35" s="532" t="str">
        <f t="shared" si="24"/>
        <v>-</v>
      </c>
      <c r="O35" s="532" t="str">
        <f t="shared" si="24"/>
        <v>-</v>
      </c>
      <c r="P35" s="532" t="str">
        <f t="shared" si="24"/>
        <v>-</v>
      </c>
      <c r="Q35" s="533" t="str">
        <f t="shared" si="24"/>
        <v>-</v>
      </c>
      <c r="R35" s="531" t="str">
        <f t="shared" si="24"/>
        <v>-</v>
      </c>
      <c r="S35" s="533" t="str">
        <f t="shared" si="24"/>
        <v>-</v>
      </c>
      <c r="T35" s="534" t="str">
        <f t="shared" si="24"/>
        <v>-</v>
      </c>
    </row>
    <row r="36" spans="1:20" ht="15.75" x14ac:dyDescent="0.25">
      <c r="A36" s="305">
        <f t="shared" si="10"/>
        <v>202409</v>
      </c>
      <c r="B36" s="535"/>
      <c r="C36" s="536" t="str">
        <f t="shared" si="12"/>
        <v>-</v>
      </c>
      <c r="D36" s="537" t="str">
        <f t="shared" si="12"/>
        <v>-</v>
      </c>
      <c r="E36" s="538" t="str">
        <f t="shared" ref="E36:H36" si="25">IFERROR(E19/$B19,"-")</f>
        <v>-</v>
      </c>
      <c r="F36" s="536" t="str">
        <f t="shared" si="25"/>
        <v>-</v>
      </c>
      <c r="G36" s="537" t="str">
        <f t="shared" si="25"/>
        <v>-</v>
      </c>
      <c r="H36" s="538" t="str">
        <f t="shared" si="25"/>
        <v>-</v>
      </c>
      <c r="I36" s="528"/>
      <c r="J36" s="536" t="str">
        <f t="shared" ref="J36:T36" si="26">IFERROR(J19/$B19,"-")</f>
        <v>-</v>
      </c>
      <c r="K36" s="537" t="str">
        <f t="shared" si="26"/>
        <v>-</v>
      </c>
      <c r="L36" s="537" t="str">
        <f t="shared" si="26"/>
        <v>-</v>
      </c>
      <c r="M36" s="537" t="str">
        <f t="shared" si="26"/>
        <v>-</v>
      </c>
      <c r="N36" s="537" t="str">
        <f t="shared" si="26"/>
        <v>-</v>
      </c>
      <c r="O36" s="537" t="str">
        <f t="shared" si="26"/>
        <v>-</v>
      </c>
      <c r="P36" s="537" t="str">
        <f t="shared" si="26"/>
        <v>-</v>
      </c>
      <c r="Q36" s="538" t="str">
        <f t="shared" si="26"/>
        <v>-</v>
      </c>
      <c r="R36" s="536" t="str">
        <f t="shared" si="26"/>
        <v>-</v>
      </c>
      <c r="S36" s="538" t="str">
        <f t="shared" si="26"/>
        <v>-</v>
      </c>
      <c r="T36" s="539" t="str">
        <f t="shared" si="26"/>
        <v>-</v>
      </c>
    </row>
    <row r="37" spans="1:20" ht="15.75" x14ac:dyDescent="0.25">
      <c r="A37" s="499">
        <f t="shared" si="10"/>
        <v>202410</v>
      </c>
      <c r="B37" s="530"/>
      <c r="C37" s="531" t="str">
        <f t="shared" si="12"/>
        <v>-</v>
      </c>
      <c r="D37" s="532" t="str">
        <f t="shared" si="12"/>
        <v>-</v>
      </c>
      <c r="E37" s="533" t="str">
        <f t="shared" ref="E37:H37" si="27">IFERROR(E20/$B20,"-")</f>
        <v>-</v>
      </c>
      <c r="F37" s="531" t="str">
        <f t="shared" si="27"/>
        <v>-</v>
      </c>
      <c r="G37" s="532" t="str">
        <f t="shared" si="27"/>
        <v>-</v>
      </c>
      <c r="H37" s="533" t="str">
        <f t="shared" si="27"/>
        <v>-</v>
      </c>
      <c r="I37" s="528"/>
      <c r="J37" s="531" t="str">
        <f t="shared" ref="J37:T37" si="28">IFERROR(J20/$B20,"-")</f>
        <v>-</v>
      </c>
      <c r="K37" s="532" t="str">
        <f t="shared" si="28"/>
        <v>-</v>
      </c>
      <c r="L37" s="532" t="str">
        <f t="shared" si="28"/>
        <v>-</v>
      </c>
      <c r="M37" s="532" t="str">
        <f t="shared" si="28"/>
        <v>-</v>
      </c>
      <c r="N37" s="532" t="str">
        <f t="shared" si="28"/>
        <v>-</v>
      </c>
      <c r="O37" s="532" t="str">
        <f t="shared" si="28"/>
        <v>-</v>
      </c>
      <c r="P37" s="532" t="str">
        <f t="shared" si="28"/>
        <v>-</v>
      </c>
      <c r="Q37" s="533" t="str">
        <f t="shared" si="28"/>
        <v>-</v>
      </c>
      <c r="R37" s="531" t="str">
        <f t="shared" si="28"/>
        <v>-</v>
      </c>
      <c r="S37" s="533" t="str">
        <f t="shared" si="28"/>
        <v>-</v>
      </c>
      <c r="T37" s="534" t="str">
        <f t="shared" si="28"/>
        <v>-</v>
      </c>
    </row>
    <row r="38" spans="1:20" ht="15.75" x14ac:dyDescent="0.25">
      <c r="A38" s="305">
        <f t="shared" si="10"/>
        <v>202411</v>
      </c>
      <c r="B38" s="535"/>
      <c r="C38" s="536" t="str">
        <f t="shared" si="12"/>
        <v>-</v>
      </c>
      <c r="D38" s="537" t="str">
        <f t="shared" si="12"/>
        <v>-</v>
      </c>
      <c r="E38" s="538" t="str">
        <f t="shared" ref="E38:H38" si="29">IFERROR(E21/$B21,"-")</f>
        <v>-</v>
      </c>
      <c r="F38" s="536" t="str">
        <f t="shared" si="29"/>
        <v>-</v>
      </c>
      <c r="G38" s="537" t="str">
        <f t="shared" si="29"/>
        <v>-</v>
      </c>
      <c r="H38" s="538" t="str">
        <f t="shared" si="29"/>
        <v>-</v>
      </c>
      <c r="I38" s="528"/>
      <c r="J38" s="536" t="str">
        <f t="shared" ref="J38:T38" si="30">IFERROR(J21/$B21,"-")</f>
        <v>-</v>
      </c>
      <c r="K38" s="537" t="str">
        <f t="shared" si="30"/>
        <v>-</v>
      </c>
      <c r="L38" s="537" t="str">
        <f t="shared" si="30"/>
        <v>-</v>
      </c>
      <c r="M38" s="537" t="str">
        <f t="shared" si="30"/>
        <v>-</v>
      </c>
      <c r="N38" s="537" t="str">
        <f t="shared" si="30"/>
        <v>-</v>
      </c>
      <c r="O38" s="537" t="str">
        <f t="shared" si="30"/>
        <v>-</v>
      </c>
      <c r="P38" s="537" t="str">
        <f t="shared" si="30"/>
        <v>-</v>
      </c>
      <c r="Q38" s="538" t="str">
        <f t="shared" si="30"/>
        <v>-</v>
      </c>
      <c r="R38" s="536" t="str">
        <f t="shared" si="30"/>
        <v>-</v>
      </c>
      <c r="S38" s="538" t="str">
        <f t="shared" si="30"/>
        <v>-</v>
      </c>
      <c r="T38" s="539" t="str">
        <f t="shared" si="30"/>
        <v>-</v>
      </c>
    </row>
    <row r="39" spans="1:20" ht="15.75" x14ac:dyDescent="0.25">
      <c r="A39" s="513">
        <f t="shared" si="10"/>
        <v>202412</v>
      </c>
      <c r="B39" s="540"/>
      <c r="C39" s="541" t="str">
        <f t="shared" si="12"/>
        <v>-</v>
      </c>
      <c r="D39" s="542" t="str">
        <f t="shared" si="12"/>
        <v>-</v>
      </c>
      <c r="E39" s="543" t="str">
        <f t="shared" ref="E39:H39" si="31">IFERROR(E22/$B22,"-")</f>
        <v>-</v>
      </c>
      <c r="F39" s="541" t="str">
        <f t="shared" si="31"/>
        <v>-</v>
      </c>
      <c r="G39" s="542" t="str">
        <f t="shared" si="31"/>
        <v>-</v>
      </c>
      <c r="H39" s="543" t="str">
        <f t="shared" si="31"/>
        <v>-</v>
      </c>
      <c r="I39" s="528"/>
      <c r="J39" s="541" t="str">
        <f t="shared" ref="J39:T39" si="32">IFERROR(J22/$B22,"-")</f>
        <v>-</v>
      </c>
      <c r="K39" s="542" t="str">
        <f t="shared" si="32"/>
        <v>-</v>
      </c>
      <c r="L39" s="542" t="str">
        <f t="shared" si="32"/>
        <v>-</v>
      </c>
      <c r="M39" s="542" t="str">
        <f t="shared" si="32"/>
        <v>-</v>
      </c>
      <c r="N39" s="542" t="str">
        <f t="shared" si="32"/>
        <v>-</v>
      </c>
      <c r="O39" s="542" t="str">
        <f t="shared" si="32"/>
        <v>-</v>
      </c>
      <c r="P39" s="542" t="str">
        <f t="shared" si="32"/>
        <v>-</v>
      </c>
      <c r="Q39" s="543" t="str">
        <f t="shared" si="32"/>
        <v>-</v>
      </c>
      <c r="R39" s="541" t="str">
        <f t="shared" si="32"/>
        <v>-</v>
      </c>
      <c r="S39" s="543" t="str">
        <f t="shared" si="32"/>
        <v>-</v>
      </c>
      <c r="T39" s="544" t="str">
        <f t="shared" si="32"/>
        <v>-</v>
      </c>
    </row>
    <row r="40" spans="1:20" ht="15.75" x14ac:dyDescent="0.25">
      <c r="A40" s="305" t="str">
        <f>"CY"&amp;ExperYear</f>
        <v>CY2024</v>
      </c>
      <c r="B40" s="545"/>
      <c r="C40" s="536" t="str">
        <f t="shared" si="12"/>
        <v>-</v>
      </c>
      <c r="D40" s="537" t="str">
        <f t="shared" si="12"/>
        <v>-</v>
      </c>
      <c r="E40" s="538" t="str">
        <f t="shared" ref="E40:H40" si="33">IFERROR(E23/$B23,"-")</f>
        <v>-</v>
      </c>
      <c r="F40" s="536" t="str">
        <f t="shared" si="33"/>
        <v>-</v>
      </c>
      <c r="G40" s="537" t="str">
        <f t="shared" si="33"/>
        <v>-</v>
      </c>
      <c r="H40" s="538" t="str">
        <f t="shared" si="33"/>
        <v>-</v>
      </c>
      <c r="I40" s="528"/>
      <c r="J40" s="536" t="str">
        <f t="shared" ref="J40:T40" si="34">IFERROR(J23/$B23,"-")</f>
        <v>-</v>
      </c>
      <c r="K40" s="537" t="str">
        <f t="shared" si="34"/>
        <v>-</v>
      </c>
      <c r="L40" s="537" t="str">
        <f t="shared" si="34"/>
        <v>-</v>
      </c>
      <c r="M40" s="537" t="str">
        <f t="shared" si="34"/>
        <v>-</v>
      </c>
      <c r="N40" s="537" t="str">
        <f t="shared" si="34"/>
        <v>-</v>
      </c>
      <c r="O40" s="537" t="str">
        <f t="shared" si="34"/>
        <v>-</v>
      </c>
      <c r="P40" s="537" t="str">
        <f t="shared" si="34"/>
        <v>-</v>
      </c>
      <c r="Q40" s="538" t="str">
        <f t="shared" si="34"/>
        <v>-</v>
      </c>
      <c r="R40" s="536" t="str">
        <f t="shared" si="34"/>
        <v>-</v>
      </c>
      <c r="S40" s="538" t="str">
        <f t="shared" si="34"/>
        <v>-</v>
      </c>
      <c r="T40" s="539" t="str">
        <f t="shared" si="34"/>
        <v>-</v>
      </c>
    </row>
    <row r="42" spans="1:20" ht="21.75" thickBot="1" x14ac:dyDescent="0.4">
      <c r="A42" s="131" t="s">
        <v>49</v>
      </c>
      <c r="B42" s="131"/>
      <c r="C42" s="131"/>
      <c r="D42" s="134"/>
      <c r="E42" s="131"/>
    </row>
    <row r="43" spans="1:20" ht="16.5" thickTop="1" x14ac:dyDescent="0.25">
      <c r="A43" s="82"/>
      <c r="B43" s="82"/>
      <c r="C43" s="82"/>
      <c r="D43" s="82"/>
      <c r="E43" s="82"/>
      <c r="F43" s="82"/>
      <c r="G43" s="82"/>
      <c r="H43" s="82"/>
      <c r="I43" s="82"/>
      <c r="J43" s="82"/>
      <c r="K43" s="82"/>
      <c r="L43" s="82"/>
      <c r="M43" s="82"/>
      <c r="N43" s="82"/>
      <c r="O43" s="82"/>
    </row>
    <row r="44" spans="1:20" ht="15.75" x14ac:dyDescent="0.25">
      <c r="A44" s="600"/>
      <c r="B44" s="601"/>
      <c r="C44" s="601"/>
      <c r="D44" s="601"/>
      <c r="E44" s="601"/>
      <c r="F44" s="601"/>
      <c r="G44" s="601"/>
      <c r="H44" s="601"/>
      <c r="I44" s="601"/>
      <c r="J44" s="601"/>
      <c r="K44" s="601"/>
      <c r="L44" s="601"/>
      <c r="M44" s="601"/>
      <c r="N44" s="601"/>
      <c r="O44" s="601"/>
      <c r="P44" s="601"/>
      <c r="Q44" s="601"/>
      <c r="R44" s="601"/>
      <c r="S44" s="601"/>
      <c r="T44" s="601"/>
    </row>
    <row r="45" spans="1:20" ht="15.75" x14ac:dyDescent="0.25">
      <c r="A45" s="600"/>
      <c r="B45" s="601"/>
      <c r="C45" s="601"/>
      <c r="D45" s="601"/>
      <c r="E45" s="601"/>
      <c r="F45" s="601"/>
      <c r="G45" s="601"/>
      <c r="H45" s="601"/>
      <c r="I45" s="601"/>
      <c r="J45" s="601"/>
      <c r="K45" s="601"/>
      <c r="L45" s="601"/>
      <c r="M45" s="601"/>
      <c r="N45" s="601"/>
      <c r="O45" s="601"/>
      <c r="P45" s="601"/>
      <c r="Q45" s="601"/>
      <c r="R45" s="601"/>
      <c r="S45" s="601"/>
      <c r="T45" s="601"/>
    </row>
    <row r="46" spans="1:20" ht="15.75" x14ac:dyDescent="0.25">
      <c r="A46" s="600"/>
      <c r="B46" s="601"/>
      <c r="C46" s="601"/>
      <c r="D46" s="601"/>
      <c r="E46" s="601"/>
      <c r="F46" s="601"/>
      <c r="G46" s="601"/>
      <c r="H46" s="601"/>
      <c r="I46" s="601"/>
      <c r="J46" s="601"/>
      <c r="K46" s="601"/>
      <c r="L46" s="601"/>
      <c r="M46" s="601"/>
      <c r="N46" s="601"/>
      <c r="O46" s="601"/>
      <c r="P46" s="601"/>
      <c r="Q46" s="601"/>
      <c r="R46" s="601"/>
      <c r="S46" s="601"/>
      <c r="T46" s="601"/>
    </row>
    <row r="47" spans="1:20" ht="15.75" x14ac:dyDescent="0.25">
      <c r="A47" s="600"/>
      <c r="B47" s="601"/>
      <c r="C47" s="601"/>
      <c r="D47" s="601"/>
      <c r="E47" s="601"/>
      <c r="F47" s="601"/>
      <c r="G47" s="601"/>
      <c r="H47" s="601"/>
      <c r="I47" s="601"/>
      <c r="J47" s="601"/>
      <c r="K47" s="601"/>
      <c r="L47" s="601"/>
      <c r="M47" s="601"/>
      <c r="N47" s="601"/>
      <c r="O47" s="601"/>
      <c r="P47" s="601"/>
      <c r="Q47" s="601"/>
      <c r="R47" s="601"/>
      <c r="S47" s="601"/>
      <c r="T47" s="601"/>
    </row>
    <row r="48" spans="1:20" ht="15.75" x14ac:dyDescent="0.25">
      <c r="A48" s="600"/>
      <c r="B48" s="601"/>
      <c r="C48" s="601"/>
      <c r="D48" s="601"/>
      <c r="E48" s="601"/>
      <c r="F48" s="601"/>
      <c r="G48" s="601"/>
      <c r="H48" s="601"/>
      <c r="I48" s="601"/>
      <c r="J48" s="601"/>
      <c r="K48" s="601"/>
      <c r="L48" s="601"/>
      <c r="M48" s="601"/>
      <c r="N48" s="601"/>
      <c r="O48" s="601"/>
      <c r="P48" s="601"/>
      <c r="Q48" s="601"/>
      <c r="R48" s="601"/>
      <c r="S48" s="601"/>
      <c r="T48" s="601"/>
    </row>
    <row r="49" spans="1:20" ht="15.75" x14ac:dyDescent="0.25">
      <c r="A49" s="600"/>
      <c r="B49" s="601"/>
      <c r="C49" s="601"/>
      <c r="D49" s="601"/>
      <c r="E49" s="601"/>
      <c r="F49" s="601"/>
      <c r="G49" s="601"/>
      <c r="H49" s="601"/>
      <c r="I49" s="601"/>
      <c r="J49" s="601"/>
      <c r="K49" s="601"/>
      <c r="L49" s="601"/>
      <c r="M49" s="601"/>
      <c r="N49" s="601"/>
      <c r="O49" s="601"/>
      <c r="P49" s="601"/>
      <c r="Q49" s="601"/>
      <c r="R49" s="601"/>
      <c r="S49" s="601"/>
      <c r="T49" s="601"/>
    </row>
    <row r="50" spans="1:20" ht="15.75" x14ac:dyDescent="0.25">
      <c r="A50" s="600"/>
      <c r="B50" s="601"/>
      <c r="C50" s="601"/>
      <c r="D50" s="601"/>
      <c r="E50" s="601"/>
      <c r="F50" s="601"/>
      <c r="G50" s="601"/>
      <c r="H50" s="601"/>
      <c r="I50" s="601"/>
      <c r="J50" s="601"/>
      <c r="K50" s="601"/>
      <c r="L50" s="601"/>
      <c r="M50" s="601"/>
      <c r="N50" s="601"/>
      <c r="O50" s="601"/>
      <c r="P50" s="601"/>
      <c r="Q50" s="601"/>
      <c r="R50" s="601"/>
      <c r="S50" s="601"/>
      <c r="T50" s="601"/>
    </row>
    <row r="51" spans="1:20" ht="15.75" x14ac:dyDescent="0.25">
      <c r="A51" s="600"/>
      <c r="B51" s="601"/>
      <c r="C51" s="601"/>
      <c r="D51" s="601"/>
      <c r="E51" s="601"/>
      <c r="F51" s="601"/>
      <c r="G51" s="601"/>
      <c r="H51" s="601"/>
      <c r="I51" s="601"/>
      <c r="J51" s="601"/>
      <c r="K51" s="601"/>
      <c r="L51" s="601"/>
      <c r="M51" s="601"/>
      <c r="N51" s="601"/>
      <c r="O51" s="601"/>
      <c r="P51" s="601"/>
      <c r="Q51" s="601"/>
      <c r="R51" s="601"/>
      <c r="S51" s="601"/>
      <c r="T51" s="601"/>
    </row>
    <row r="52" spans="1:20" ht="15.75" x14ac:dyDescent="0.25">
      <c r="A52" s="600"/>
      <c r="B52" s="601"/>
      <c r="C52" s="601"/>
      <c r="D52" s="601"/>
      <c r="E52" s="601"/>
      <c r="F52" s="601"/>
      <c r="G52" s="601"/>
      <c r="H52" s="601"/>
      <c r="I52" s="601"/>
      <c r="J52" s="601"/>
      <c r="K52" s="601"/>
      <c r="L52" s="601"/>
      <c r="M52" s="601"/>
      <c r="N52" s="601"/>
      <c r="O52" s="601"/>
      <c r="P52" s="601"/>
      <c r="Q52" s="601"/>
      <c r="R52" s="601"/>
      <c r="S52" s="601"/>
      <c r="T52" s="601"/>
    </row>
    <row r="53" spans="1:20" ht="15.75" x14ac:dyDescent="0.25">
      <c r="A53" s="600"/>
      <c r="B53" s="601"/>
      <c r="C53" s="601"/>
      <c r="D53" s="601"/>
      <c r="E53" s="601"/>
      <c r="F53" s="601"/>
      <c r="G53" s="601"/>
      <c r="H53" s="601"/>
      <c r="I53" s="601"/>
      <c r="J53" s="601"/>
      <c r="K53" s="601"/>
      <c r="L53" s="601"/>
      <c r="M53" s="601"/>
      <c r="N53" s="601"/>
      <c r="O53" s="601"/>
      <c r="P53" s="601"/>
      <c r="Q53" s="601"/>
      <c r="R53" s="601"/>
      <c r="S53" s="601"/>
      <c r="T53" s="601"/>
    </row>
  </sheetData>
  <mergeCells count="14">
    <mergeCell ref="A53:T53"/>
    <mergeCell ref="A44:T44"/>
    <mergeCell ref="A45:T45"/>
    <mergeCell ref="A46:T46"/>
    <mergeCell ref="A47:T47"/>
    <mergeCell ref="A48:T48"/>
    <mergeCell ref="A49:T49"/>
    <mergeCell ref="A50:T50"/>
    <mergeCell ref="A51:T51"/>
    <mergeCell ref="E3:T3"/>
    <mergeCell ref="E4:T4"/>
    <mergeCell ref="E5:T5"/>
    <mergeCell ref="E6:T6"/>
    <mergeCell ref="A52:T52"/>
  </mergeCells>
  <conditionalFormatting sqref="P11:P22">
    <cfRule type="cellIs" dxfId="26" priority="1" operator="greaterThan">
      <formula>0</formula>
    </cfRule>
  </conditionalFormatting>
  <conditionalFormatting sqref="T11:T22">
    <cfRule type="expression" dxfId="25" priority="4">
      <formula>ABS(T11)&gt;2</formula>
    </cfRule>
  </conditionalFormatting>
  <conditionalFormatting sqref="T28:T40">
    <cfRule type="expression" dxfId="24" priority="2">
      <formula>ABS(T28)&gt;0.5</formula>
    </cfRule>
  </conditionalFormatting>
  <printOptions horizontalCentered="1"/>
  <pageMargins left="0.25" right="0.25" top="0.75" bottom="0.75" header="0.25" footer="0.25"/>
  <pageSetup scale="54" orientation="landscape" horizontalDpi="1200" verticalDpi="1200" r:id="rId1"/>
  <headerFooter>
    <oddFooter>&amp;L2026 IND &amp;&amp; SG ACA MEDICAL RATE FILINGS -- COMMON EXHIBITS&amp;R03/21/2025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479E-BD5E-4908-8F2D-0FE8EDA60166}">
  <sheetPr codeName="Sheet1">
    <tabColor theme="9" tint="-0.499984740745262"/>
    <pageSetUpPr fitToPage="1"/>
  </sheetPr>
  <dimension ref="A1:L50"/>
  <sheetViews>
    <sheetView showGridLines="0" zoomScale="70" zoomScaleNormal="70" workbookViewId="0">
      <pane xSplit="2" ySplit="6" topLeftCell="C7" activePane="bottomRight" state="frozen"/>
      <selection pane="topRight"/>
      <selection pane="bottomLeft"/>
      <selection pane="bottomRight"/>
    </sheetView>
  </sheetViews>
  <sheetFormatPr defaultRowHeight="15.75" x14ac:dyDescent="0.25"/>
  <cols>
    <col min="1" max="1" width="6.5703125" style="82" customWidth="1"/>
    <col min="2" max="2" width="40.140625" style="82" bestFit="1" customWidth="1"/>
    <col min="3" max="3" width="15.140625" style="82" customWidth="1"/>
    <col min="4" max="4" width="15.7109375" style="82" bestFit="1" customWidth="1"/>
    <col min="5" max="6" width="13.140625" style="82" customWidth="1"/>
    <col min="7" max="7" width="14.28515625" style="82" customWidth="1"/>
    <col min="8" max="8" width="13.7109375" style="82" bestFit="1" customWidth="1"/>
    <col min="9" max="9" width="13.140625" style="82" customWidth="1"/>
    <col min="10" max="10" width="14.5703125" style="82" customWidth="1"/>
    <col min="11" max="12" width="13.140625" style="82" customWidth="1"/>
    <col min="13" max="16384" width="9.140625" style="82"/>
  </cols>
  <sheetData>
    <row r="1" spans="1:12" ht="26.25" x14ac:dyDescent="0.4">
      <c r="A1" s="76" t="s">
        <v>293</v>
      </c>
    </row>
    <row r="2" spans="1:12" customFormat="1" ht="15" customHeight="1" x14ac:dyDescent="0.25">
      <c r="A2" s="261"/>
    </row>
    <row r="3" spans="1:12" ht="21" x14ac:dyDescent="0.35">
      <c r="A3" s="270" t="s">
        <v>10</v>
      </c>
      <c r="C3" s="604" t="s">
        <v>11</v>
      </c>
      <c r="D3" s="604"/>
      <c r="E3" s="604"/>
      <c r="F3" s="604"/>
      <c r="G3" s="604"/>
      <c r="H3" s="604"/>
      <c r="I3" s="604"/>
      <c r="J3" s="604"/>
      <c r="K3" s="604"/>
      <c r="L3" s="604"/>
    </row>
    <row r="4" spans="1:12" ht="21" x14ac:dyDescent="0.35">
      <c r="A4" s="270" t="s">
        <v>0</v>
      </c>
      <c r="C4" s="604" t="s">
        <v>1</v>
      </c>
      <c r="D4" s="604"/>
      <c r="E4" s="604"/>
      <c r="F4" s="604"/>
      <c r="G4" s="604"/>
      <c r="H4" s="604"/>
      <c r="I4" s="604"/>
      <c r="J4" s="604"/>
      <c r="K4" s="604"/>
      <c r="L4" s="604"/>
    </row>
    <row r="5" spans="1:12" ht="21" x14ac:dyDescent="0.35">
      <c r="A5" s="270" t="s">
        <v>12</v>
      </c>
      <c r="C5" s="604">
        <v>2026</v>
      </c>
      <c r="D5" s="604"/>
      <c r="E5" s="604"/>
      <c r="F5" s="604"/>
      <c r="G5" s="604"/>
      <c r="H5" s="604"/>
      <c r="I5" s="604"/>
      <c r="J5" s="604"/>
      <c r="K5" s="604"/>
      <c r="L5" s="604"/>
    </row>
    <row r="6" spans="1:12" ht="21" x14ac:dyDescent="0.35">
      <c r="A6" s="270" t="s">
        <v>13</v>
      </c>
      <c r="C6" s="603">
        <f>PlanYear-2</f>
        <v>2024</v>
      </c>
      <c r="D6" s="603"/>
      <c r="E6" s="603"/>
      <c r="F6" s="603"/>
      <c r="G6" s="603"/>
      <c r="H6" s="603"/>
      <c r="I6" s="603"/>
      <c r="J6" s="603"/>
      <c r="K6" s="603"/>
      <c r="L6" s="603"/>
    </row>
    <row r="7" spans="1:12" customFormat="1" ht="15" x14ac:dyDescent="0.25">
      <c r="B7" s="262"/>
      <c r="C7" s="263"/>
      <c r="F7" s="264"/>
      <c r="G7" s="264"/>
    </row>
    <row r="8" spans="1:12" customFormat="1" ht="15" x14ac:dyDescent="0.25">
      <c r="B8" s="262"/>
      <c r="C8" s="263"/>
      <c r="F8" s="264"/>
      <c r="G8" s="264"/>
    </row>
    <row r="9" spans="1:12" ht="21.75" thickBot="1" x14ac:dyDescent="0.4">
      <c r="A9" s="131" t="s">
        <v>14</v>
      </c>
      <c r="B9" s="4"/>
      <c r="F9" s="83"/>
      <c r="G9" s="83"/>
    </row>
    <row r="10" spans="1:12" ht="6" customHeight="1" thickTop="1" x14ac:dyDescent="0.25">
      <c r="A10"/>
      <c r="C10" s="83"/>
      <c r="F10" s="83"/>
      <c r="G10" s="83"/>
    </row>
    <row r="11" spans="1:12" x14ac:dyDescent="0.25">
      <c r="C11" s="79" t="str">
        <f>ExperYear&amp;", TOTAL"</f>
        <v>2024, TOTAL</v>
      </c>
      <c r="D11" s="79"/>
      <c r="E11" s="80"/>
      <c r="F11" s="80"/>
      <c r="G11" s="79" t="str">
        <f>ExperYear&amp;", PMPM"</f>
        <v>2024, PMPM</v>
      </c>
      <c r="H11" s="79"/>
      <c r="I11" s="79"/>
      <c r="J11" s="79" t="str">
        <f>ExperYear&amp;", % of PREMIUM"</f>
        <v>2024, % of PREMIUM</v>
      </c>
      <c r="K11" s="81"/>
      <c r="L11" s="81"/>
    </row>
    <row r="12" spans="1:12" ht="47.25" x14ac:dyDescent="0.25">
      <c r="A12" s="306" t="s">
        <v>15</v>
      </c>
      <c r="B12" s="306" t="s">
        <v>16</v>
      </c>
      <c r="C12" s="306" t="s">
        <v>17</v>
      </c>
      <c r="D12" s="306" t="s">
        <v>18</v>
      </c>
      <c r="E12" s="307" t="s">
        <v>19</v>
      </c>
      <c r="F12" s="307" t="s">
        <v>20</v>
      </c>
      <c r="G12" s="306" t="s">
        <v>17</v>
      </c>
      <c r="H12" s="306" t="s">
        <v>18</v>
      </c>
      <c r="I12" s="307" t="s">
        <v>19</v>
      </c>
      <c r="J12" s="306" t="s">
        <v>17</v>
      </c>
      <c r="K12" s="306" t="s">
        <v>18</v>
      </c>
      <c r="L12" s="307" t="s">
        <v>20</v>
      </c>
    </row>
    <row r="13" spans="1:12" x14ac:dyDescent="0.25">
      <c r="A13" s="135" t="s">
        <v>21</v>
      </c>
      <c r="B13" s="289" t="s">
        <v>22</v>
      </c>
      <c r="C13" s="138"/>
      <c r="D13" s="138"/>
      <c r="E13" s="84" t="e">
        <f>C13/D13-1</f>
        <v>#DIV/0!</v>
      </c>
      <c r="F13" s="85"/>
      <c r="G13" s="85"/>
      <c r="H13" s="85"/>
      <c r="I13" s="85"/>
      <c r="J13" s="85"/>
      <c r="K13" s="85"/>
      <c r="L13" s="85"/>
    </row>
    <row r="14" spans="1:12" x14ac:dyDescent="0.25">
      <c r="A14" s="135" t="s">
        <v>23</v>
      </c>
      <c r="B14" s="289" t="s">
        <v>24</v>
      </c>
      <c r="C14" s="100"/>
      <c r="D14" s="100"/>
      <c r="E14" s="84" t="e">
        <f t="shared" ref="E14:E22" si="0">C14/D14-1</f>
        <v>#DIV/0!</v>
      </c>
      <c r="F14" s="85"/>
      <c r="G14" s="86" t="e">
        <f t="shared" ref="G14:H21" si="1">+C14/C$13</f>
        <v>#DIV/0!</v>
      </c>
      <c r="H14" s="86" t="e">
        <f t="shared" si="1"/>
        <v>#DIV/0!</v>
      </c>
      <c r="I14" s="84" t="e">
        <f t="shared" ref="I14:I21" si="2">G14/H14-1</f>
        <v>#DIV/0!</v>
      </c>
      <c r="J14" s="85"/>
      <c r="K14" s="85"/>
      <c r="L14" s="85"/>
    </row>
    <row r="15" spans="1:12" x14ac:dyDescent="0.25">
      <c r="A15" s="135" t="s">
        <v>25</v>
      </c>
      <c r="B15" s="289" t="s">
        <v>26</v>
      </c>
      <c r="C15" s="100"/>
      <c r="D15" s="100"/>
      <c r="E15" s="84" t="e">
        <f t="shared" si="0"/>
        <v>#DIV/0!</v>
      </c>
      <c r="F15" s="85"/>
      <c r="G15" s="86" t="e">
        <f t="shared" si="1"/>
        <v>#DIV/0!</v>
      </c>
      <c r="H15" s="86" t="e">
        <f t="shared" si="1"/>
        <v>#DIV/0!</v>
      </c>
      <c r="I15" s="84" t="e">
        <f t="shared" si="2"/>
        <v>#DIV/0!</v>
      </c>
      <c r="J15" s="87" t="e">
        <f t="shared" ref="J15:K21" si="3">G15/G$14</f>
        <v>#DIV/0!</v>
      </c>
      <c r="K15" s="87" t="e">
        <f t="shared" si="3"/>
        <v>#DIV/0!</v>
      </c>
      <c r="L15" s="84" t="e">
        <f>J15-K15</f>
        <v>#DIV/0!</v>
      </c>
    </row>
    <row r="16" spans="1:12" x14ac:dyDescent="0.25">
      <c r="A16" s="135" t="s">
        <v>27</v>
      </c>
      <c r="B16" s="289" t="s">
        <v>28</v>
      </c>
      <c r="C16" s="100"/>
      <c r="D16" s="100"/>
      <c r="E16" s="84" t="e">
        <f t="shared" si="0"/>
        <v>#DIV/0!</v>
      </c>
      <c r="F16" s="85"/>
      <c r="G16" s="86" t="e">
        <f t="shared" si="1"/>
        <v>#DIV/0!</v>
      </c>
      <c r="H16" s="86" t="e">
        <f t="shared" si="1"/>
        <v>#DIV/0!</v>
      </c>
      <c r="I16" s="84" t="e">
        <f t="shared" si="2"/>
        <v>#DIV/0!</v>
      </c>
      <c r="J16" s="87" t="e">
        <f t="shared" si="3"/>
        <v>#DIV/0!</v>
      </c>
      <c r="K16" s="87" t="e">
        <f t="shared" si="3"/>
        <v>#DIV/0!</v>
      </c>
      <c r="L16" s="84" t="e">
        <f t="shared" ref="L16:L21" si="4">J16-K16</f>
        <v>#DIV/0!</v>
      </c>
    </row>
    <row r="17" spans="1:12" x14ac:dyDescent="0.25">
      <c r="A17" s="135" t="s">
        <v>29</v>
      </c>
      <c r="B17" s="289" t="s">
        <v>30</v>
      </c>
      <c r="C17" s="100"/>
      <c r="D17" s="100"/>
      <c r="E17" s="84" t="e">
        <f t="shared" si="0"/>
        <v>#DIV/0!</v>
      </c>
      <c r="F17" s="85"/>
      <c r="G17" s="86" t="e">
        <f t="shared" si="1"/>
        <v>#DIV/0!</v>
      </c>
      <c r="H17" s="86" t="e">
        <f t="shared" si="1"/>
        <v>#DIV/0!</v>
      </c>
      <c r="I17" s="84" t="e">
        <f>G17/H17-1</f>
        <v>#DIV/0!</v>
      </c>
      <c r="J17" s="87" t="e">
        <f t="shared" si="3"/>
        <v>#DIV/0!</v>
      </c>
      <c r="K17" s="87" t="e">
        <f t="shared" si="3"/>
        <v>#DIV/0!</v>
      </c>
      <c r="L17" s="84" t="e">
        <f t="shared" si="4"/>
        <v>#DIV/0!</v>
      </c>
    </row>
    <row r="18" spans="1:12" x14ac:dyDescent="0.25">
      <c r="A18" s="135" t="s">
        <v>31</v>
      </c>
      <c r="B18" s="289" t="s">
        <v>32</v>
      </c>
      <c r="C18" s="100"/>
      <c r="D18" s="100"/>
      <c r="E18" s="84" t="e">
        <f t="shared" si="0"/>
        <v>#DIV/0!</v>
      </c>
      <c r="F18" s="85"/>
      <c r="G18" s="86" t="e">
        <f t="shared" si="1"/>
        <v>#DIV/0!</v>
      </c>
      <c r="H18" s="86" t="e">
        <f t="shared" si="1"/>
        <v>#DIV/0!</v>
      </c>
      <c r="I18" s="84" t="e">
        <f t="shared" si="2"/>
        <v>#DIV/0!</v>
      </c>
      <c r="J18" s="87" t="e">
        <f t="shared" si="3"/>
        <v>#DIV/0!</v>
      </c>
      <c r="K18" s="87" t="e">
        <f t="shared" si="3"/>
        <v>#DIV/0!</v>
      </c>
      <c r="L18" s="84" t="e">
        <f t="shared" si="4"/>
        <v>#DIV/0!</v>
      </c>
    </row>
    <row r="19" spans="1:12" x14ac:dyDescent="0.25">
      <c r="A19" s="135" t="s">
        <v>33</v>
      </c>
      <c r="B19" s="289" t="s">
        <v>34</v>
      </c>
      <c r="C19" s="100"/>
      <c r="D19" s="100"/>
      <c r="E19" s="84" t="e">
        <f t="shared" si="0"/>
        <v>#DIV/0!</v>
      </c>
      <c r="F19" s="85"/>
      <c r="G19" s="86" t="e">
        <f t="shared" si="1"/>
        <v>#DIV/0!</v>
      </c>
      <c r="H19" s="86" t="e">
        <f t="shared" si="1"/>
        <v>#DIV/0!</v>
      </c>
      <c r="I19" s="84" t="e">
        <f t="shared" si="2"/>
        <v>#DIV/0!</v>
      </c>
      <c r="J19" s="87" t="e">
        <f t="shared" si="3"/>
        <v>#DIV/0!</v>
      </c>
      <c r="K19" s="87" t="e">
        <f t="shared" si="3"/>
        <v>#DIV/0!</v>
      </c>
      <c r="L19" s="84" t="e">
        <f t="shared" si="4"/>
        <v>#DIV/0!</v>
      </c>
    </row>
    <row r="20" spans="1:12" x14ac:dyDescent="0.25">
      <c r="A20" s="135" t="s">
        <v>35</v>
      </c>
      <c r="B20" s="289" t="s">
        <v>36</v>
      </c>
      <c r="C20" s="100"/>
      <c r="D20" s="100"/>
      <c r="E20" s="84" t="e">
        <f t="shared" si="0"/>
        <v>#DIV/0!</v>
      </c>
      <c r="F20" s="85"/>
      <c r="G20" s="86" t="e">
        <f t="shared" si="1"/>
        <v>#DIV/0!</v>
      </c>
      <c r="H20" s="86" t="e">
        <f t="shared" si="1"/>
        <v>#DIV/0!</v>
      </c>
      <c r="I20" s="84" t="e">
        <f t="shared" si="2"/>
        <v>#DIV/0!</v>
      </c>
      <c r="J20" s="87" t="e">
        <f t="shared" si="3"/>
        <v>#DIV/0!</v>
      </c>
      <c r="K20" s="87" t="e">
        <f t="shared" si="3"/>
        <v>#DIV/0!</v>
      </c>
      <c r="L20" s="84" t="e">
        <f t="shared" si="4"/>
        <v>#DIV/0!</v>
      </c>
    </row>
    <row r="21" spans="1:12" x14ac:dyDescent="0.25">
      <c r="A21" s="135" t="s">
        <v>37</v>
      </c>
      <c r="B21" s="289" t="s">
        <v>38</v>
      </c>
      <c r="C21" s="100"/>
      <c r="D21" s="100"/>
      <c r="E21" s="84" t="e">
        <f t="shared" si="0"/>
        <v>#DIV/0!</v>
      </c>
      <c r="F21" s="85"/>
      <c r="G21" s="86" t="e">
        <f t="shared" si="1"/>
        <v>#DIV/0!</v>
      </c>
      <c r="H21" s="86" t="e">
        <f t="shared" si="1"/>
        <v>#DIV/0!</v>
      </c>
      <c r="I21" s="84" t="e">
        <f t="shared" si="2"/>
        <v>#DIV/0!</v>
      </c>
      <c r="J21" s="87" t="e">
        <f t="shared" si="3"/>
        <v>#DIV/0!</v>
      </c>
      <c r="K21" s="87" t="e">
        <f t="shared" si="3"/>
        <v>#DIV/0!</v>
      </c>
      <c r="L21" s="84" t="e">
        <f t="shared" si="4"/>
        <v>#DIV/0!</v>
      </c>
    </row>
    <row r="22" spans="1:12" x14ac:dyDescent="0.25">
      <c r="A22" s="135" t="s">
        <v>39</v>
      </c>
      <c r="B22" s="289" t="s">
        <v>40</v>
      </c>
      <c r="C22" s="101"/>
      <c r="D22" s="101"/>
      <c r="E22" s="84" t="e">
        <f t="shared" si="0"/>
        <v>#DIV/0!</v>
      </c>
      <c r="F22" s="84">
        <f>C22-D22</f>
        <v>0</v>
      </c>
      <c r="G22" s="88"/>
      <c r="H22" s="88"/>
      <c r="I22" s="85"/>
      <c r="J22" s="88"/>
      <c r="K22" s="88"/>
      <c r="L22" s="88"/>
    </row>
    <row r="24" spans="1:12" ht="20.25" thickBot="1" x14ac:dyDescent="0.35">
      <c r="A24" s="4" t="s">
        <v>41</v>
      </c>
      <c r="B24" s="4"/>
    </row>
    <row r="25" spans="1:12" ht="16.5" thickTop="1" x14ac:dyDescent="0.25">
      <c r="A25" s="89" t="s">
        <v>42</v>
      </c>
      <c r="G25" s="90" t="e">
        <f>G14+G18-G16-G19-G20</f>
        <v>#DIV/0!</v>
      </c>
      <c r="H25" s="90" t="e">
        <f>H14+H18-H16-H19-H20</f>
        <v>#DIV/0!</v>
      </c>
    </row>
    <row r="26" spans="1:12" x14ac:dyDescent="0.25">
      <c r="A26" s="89" t="s">
        <v>43</v>
      </c>
      <c r="G26" s="91" t="e">
        <f>G25-G21</f>
        <v>#DIV/0!</v>
      </c>
      <c r="H26" s="91" t="e">
        <f>H25-H21</f>
        <v>#DIV/0!</v>
      </c>
    </row>
    <row r="28" spans="1:12" ht="21.75" thickBot="1" x14ac:dyDescent="0.4">
      <c r="A28" s="131" t="s">
        <v>44</v>
      </c>
      <c r="B28" s="4"/>
    </row>
    <row r="29" spans="1:12" ht="17.25" thickTop="1" thickBot="1" x14ac:dyDescent="0.3">
      <c r="A29" s="99" t="s">
        <v>45</v>
      </c>
      <c r="J29" s="92" t="e">
        <f>G16/G14</f>
        <v>#DIV/0!</v>
      </c>
      <c r="K29" s="84" t="e">
        <f>H16/H14</f>
        <v>#DIV/0!</v>
      </c>
      <c r="L29" s="84" t="e">
        <f t="shared" ref="L29" si="5">J29-K29</f>
        <v>#DIV/0!</v>
      </c>
    </row>
    <row r="30" spans="1:12" ht="16.5" thickBot="1" x14ac:dyDescent="0.3">
      <c r="A30" s="99" t="s">
        <v>46</v>
      </c>
      <c r="J30" s="93" t="e">
        <f>J29/K29-1</f>
        <v>#DIV/0!</v>
      </c>
      <c r="K30" s="94"/>
    </row>
    <row r="31" spans="1:12" x14ac:dyDescent="0.25">
      <c r="A31" s="89"/>
    </row>
    <row r="32" spans="1:12" ht="16.5" thickBot="1" x14ac:dyDescent="0.3">
      <c r="A32" s="89" t="s">
        <v>47</v>
      </c>
      <c r="J32" s="92" t="e">
        <f>G16/(G14+G18)</f>
        <v>#DIV/0!</v>
      </c>
      <c r="K32" s="92" t="e">
        <f>H16/(H14+H18)</f>
        <v>#DIV/0!</v>
      </c>
      <c r="L32" s="84" t="e">
        <f>J32-K32</f>
        <v>#DIV/0!</v>
      </c>
    </row>
    <row r="33" spans="1:12" ht="16.5" thickBot="1" x14ac:dyDescent="0.3">
      <c r="A33" s="99" t="s">
        <v>48</v>
      </c>
      <c r="J33" s="285" t="e">
        <f>J32/K32-1</f>
        <v>#DIV/0!</v>
      </c>
      <c r="K33" s="94"/>
    </row>
    <row r="34" spans="1:12" x14ac:dyDescent="0.25">
      <c r="A34" s="95"/>
      <c r="I34" s="96"/>
      <c r="J34" s="97"/>
    </row>
    <row r="35" spans="1:12" ht="21.75" thickBot="1" x14ac:dyDescent="0.4">
      <c r="A35" s="131" t="s">
        <v>49</v>
      </c>
      <c r="B35" s="4"/>
    </row>
    <row r="36" spans="1:12" ht="32.25" thickTop="1" x14ac:dyDescent="0.25">
      <c r="A36" s="308" t="s">
        <v>15</v>
      </c>
      <c r="B36" s="605" t="s">
        <v>49</v>
      </c>
      <c r="C36" s="605"/>
      <c r="D36" s="605"/>
      <c r="E36" s="605"/>
      <c r="F36" s="605"/>
      <c r="G36" s="605"/>
      <c r="H36" s="605"/>
      <c r="I36" s="605"/>
      <c r="J36" s="605"/>
      <c r="K36" s="605"/>
      <c r="L36" s="605"/>
    </row>
    <row r="37" spans="1:12" x14ac:dyDescent="0.25">
      <c r="A37" s="136"/>
      <c r="B37" s="602"/>
      <c r="C37" s="602"/>
      <c r="D37" s="602"/>
      <c r="E37" s="602"/>
      <c r="F37" s="602"/>
      <c r="G37" s="602"/>
      <c r="H37" s="602"/>
      <c r="I37" s="602"/>
      <c r="J37" s="602"/>
      <c r="K37" s="602"/>
      <c r="L37" s="602"/>
    </row>
    <row r="38" spans="1:12" x14ac:dyDescent="0.25">
      <c r="A38" s="136"/>
      <c r="B38" s="602"/>
      <c r="C38" s="602"/>
      <c r="D38" s="602"/>
      <c r="E38" s="602"/>
      <c r="F38" s="602"/>
      <c r="G38" s="602"/>
      <c r="H38" s="602"/>
      <c r="I38" s="602"/>
      <c r="J38" s="602"/>
      <c r="K38" s="602"/>
      <c r="L38" s="602"/>
    </row>
    <row r="39" spans="1:12" x14ac:dyDescent="0.25">
      <c r="A39" s="136"/>
      <c r="B39" s="602"/>
      <c r="C39" s="602"/>
      <c r="D39" s="602"/>
      <c r="E39" s="602"/>
      <c r="F39" s="602"/>
      <c r="G39" s="602"/>
      <c r="H39" s="602"/>
      <c r="I39" s="602"/>
      <c r="J39" s="602"/>
      <c r="K39" s="602"/>
      <c r="L39" s="602"/>
    </row>
    <row r="40" spans="1:12" x14ac:dyDescent="0.25">
      <c r="A40" s="136"/>
      <c r="B40" s="602"/>
      <c r="C40" s="602"/>
      <c r="D40" s="602"/>
      <c r="E40" s="602"/>
      <c r="F40" s="602"/>
      <c r="G40" s="602"/>
      <c r="H40" s="602"/>
      <c r="I40" s="602"/>
      <c r="J40" s="602"/>
      <c r="K40" s="602"/>
      <c r="L40" s="602"/>
    </row>
    <row r="41" spans="1:12" x14ac:dyDescent="0.25">
      <c r="A41" s="136"/>
      <c r="B41" s="602"/>
      <c r="C41" s="602"/>
      <c r="D41" s="602"/>
      <c r="E41" s="602"/>
      <c r="F41" s="602"/>
      <c r="G41" s="602"/>
      <c r="H41" s="602"/>
      <c r="I41" s="602"/>
      <c r="J41" s="602"/>
      <c r="K41" s="602"/>
      <c r="L41" s="602"/>
    </row>
    <row r="42" spans="1:12" x14ac:dyDescent="0.25">
      <c r="A42" s="136"/>
      <c r="B42" s="602"/>
      <c r="C42" s="602"/>
      <c r="D42" s="602"/>
      <c r="E42" s="602"/>
      <c r="F42" s="602"/>
      <c r="G42" s="602"/>
      <c r="H42" s="602"/>
      <c r="I42" s="602"/>
      <c r="J42" s="602"/>
      <c r="K42" s="602"/>
      <c r="L42" s="602"/>
    </row>
    <row r="43" spans="1:12" x14ac:dyDescent="0.25">
      <c r="A43" s="136"/>
      <c r="B43" s="602"/>
      <c r="C43" s="602"/>
      <c r="D43" s="602"/>
      <c r="E43" s="602"/>
      <c r="F43" s="602"/>
      <c r="G43" s="602"/>
      <c r="H43" s="602"/>
      <c r="I43" s="602"/>
      <c r="J43" s="602"/>
      <c r="K43" s="602"/>
      <c r="L43" s="602"/>
    </row>
    <row r="44" spans="1:12" x14ac:dyDescent="0.25">
      <c r="A44" s="136"/>
      <c r="B44" s="602"/>
      <c r="C44" s="602"/>
      <c r="D44" s="602"/>
      <c r="E44" s="602"/>
      <c r="F44" s="602"/>
      <c r="G44" s="602"/>
      <c r="H44" s="602"/>
      <c r="I44" s="602"/>
      <c r="J44" s="602"/>
      <c r="K44" s="602"/>
      <c r="L44" s="602"/>
    </row>
    <row r="45" spans="1:12" x14ac:dyDescent="0.25">
      <c r="A45" s="136"/>
      <c r="B45" s="602"/>
      <c r="C45" s="602"/>
      <c r="D45" s="602"/>
      <c r="E45" s="602"/>
      <c r="F45" s="602"/>
      <c r="G45" s="602"/>
      <c r="H45" s="602"/>
      <c r="I45" s="602"/>
      <c r="J45" s="602"/>
      <c r="K45" s="602"/>
      <c r="L45" s="602"/>
    </row>
    <row r="46" spans="1:12" x14ac:dyDescent="0.25">
      <c r="A46" s="136"/>
      <c r="B46" s="602"/>
      <c r="C46" s="602"/>
      <c r="D46" s="602"/>
      <c r="E46" s="602"/>
      <c r="F46" s="602"/>
      <c r="G46" s="602"/>
      <c r="H46" s="602"/>
      <c r="I46" s="602"/>
      <c r="J46" s="602"/>
      <c r="K46" s="602"/>
      <c r="L46" s="602"/>
    </row>
    <row r="47" spans="1:12" x14ac:dyDescent="0.25">
      <c r="A47" s="282"/>
      <c r="B47" s="602"/>
      <c r="C47" s="602"/>
      <c r="D47" s="602"/>
      <c r="E47" s="602"/>
      <c r="F47" s="602"/>
      <c r="G47" s="602"/>
      <c r="H47" s="602"/>
      <c r="I47" s="602"/>
      <c r="J47" s="602"/>
      <c r="K47" s="602"/>
      <c r="L47" s="602"/>
    </row>
    <row r="48" spans="1:12" x14ac:dyDescent="0.25">
      <c r="A48" s="282"/>
      <c r="B48" s="602"/>
      <c r="C48" s="602"/>
      <c r="D48" s="602"/>
      <c r="E48" s="602"/>
      <c r="F48" s="602"/>
      <c r="G48" s="602"/>
      <c r="H48" s="602"/>
      <c r="I48" s="602"/>
      <c r="J48" s="602"/>
      <c r="K48" s="602"/>
      <c r="L48" s="602"/>
    </row>
    <row r="49" spans="1:12" x14ac:dyDescent="0.25">
      <c r="A49" s="282"/>
      <c r="B49" s="602"/>
      <c r="C49" s="602"/>
      <c r="D49" s="602"/>
      <c r="E49" s="602"/>
      <c r="F49" s="602"/>
      <c r="G49" s="602"/>
      <c r="H49" s="602"/>
      <c r="I49" s="602"/>
      <c r="J49" s="602"/>
      <c r="K49" s="602"/>
      <c r="L49" s="602"/>
    </row>
    <row r="50" spans="1:12" x14ac:dyDescent="0.25">
      <c r="A50" s="282"/>
      <c r="B50" s="602"/>
      <c r="C50" s="602"/>
      <c r="D50" s="602"/>
      <c r="E50" s="602"/>
      <c r="F50" s="602"/>
      <c r="G50" s="602"/>
      <c r="H50" s="602"/>
      <c r="I50" s="602"/>
      <c r="J50" s="602"/>
      <c r="K50" s="602"/>
      <c r="L50" s="602"/>
    </row>
  </sheetData>
  <mergeCells count="19">
    <mergeCell ref="B44:L44"/>
    <mergeCell ref="B45:L45"/>
    <mergeCell ref="B36:L36"/>
    <mergeCell ref="B37:L37"/>
    <mergeCell ref="B38:L38"/>
    <mergeCell ref="B39:L39"/>
    <mergeCell ref="B40:L40"/>
    <mergeCell ref="B41:L41"/>
    <mergeCell ref="C6:L6"/>
    <mergeCell ref="C4:L4"/>
    <mergeCell ref="B42:L42"/>
    <mergeCell ref="B43:L43"/>
    <mergeCell ref="C3:L3"/>
    <mergeCell ref="C5:L5"/>
    <mergeCell ref="B46:L46"/>
    <mergeCell ref="B47:L47"/>
    <mergeCell ref="B48:L48"/>
    <mergeCell ref="B49:L49"/>
    <mergeCell ref="B50:L50"/>
  </mergeCells>
  <conditionalFormatting sqref="E13:F22 N29">
    <cfRule type="expression" dxfId="23" priority="5" stopIfTrue="1">
      <formula>ABS(E13)&gt;10%</formula>
    </cfRule>
    <cfRule type="expression" dxfId="22" priority="6">
      <formula>ABS(E13)&gt;5%</formula>
    </cfRule>
  </conditionalFormatting>
  <conditionalFormatting sqref="F14:F22">
    <cfRule type="expression" dxfId="21" priority="17" stopIfTrue="1">
      <formula>ABS(F14)&gt;10%</formula>
    </cfRule>
    <cfRule type="expression" dxfId="20" priority="18">
      <formula>ABS(F14)&gt;5%</formula>
    </cfRule>
  </conditionalFormatting>
  <conditionalFormatting sqref="G26:H26">
    <cfRule type="expression" dxfId="19" priority="13" stopIfTrue="1">
      <formula>ABS(G26)&gt;1</formula>
    </cfRule>
    <cfRule type="expression" dxfId="18" priority="14">
      <formula>ABS(J26)&gt;0.5</formula>
    </cfRule>
  </conditionalFormatting>
  <conditionalFormatting sqref="I14:I21">
    <cfRule type="expression" dxfId="17" priority="21" stopIfTrue="1">
      <formula>ABS(I14)&gt;10%</formula>
    </cfRule>
    <cfRule type="expression" dxfId="16" priority="22">
      <formula>ABS(I14)&gt;5%</formula>
    </cfRule>
  </conditionalFormatting>
  <conditionalFormatting sqref="L15:L21">
    <cfRule type="expression" dxfId="15" priority="15" stopIfTrue="1">
      <formula>ABS(L15)&gt;10%</formula>
    </cfRule>
    <cfRule type="expression" dxfId="14" priority="16">
      <formula>ABS(L15)&gt;5%</formula>
    </cfRule>
  </conditionalFormatting>
  <conditionalFormatting sqref="L29">
    <cfRule type="expression" dxfId="13" priority="7" stopIfTrue="1">
      <formula>ABS(L29)&gt;10%</formula>
    </cfRule>
    <cfRule type="expression" dxfId="12" priority="8">
      <formula>ABS(L29)&gt;5%</formula>
    </cfRule>
  </conditionalFormatting>
  <conditionalFormatting sqref="L32">
    <cfRule type="expression" dxfId="11" priority="3" stopIfTrue="1">
      <formula>ABS(L32)&gt;10%</formula>
    </cfRule>
    <cfRule type="expression" dxfId="10" priority="4">
      <formula>ABS(L32)&gt;5%</formula>
    </cfRule>
  </conditionalFormatting>
  <dataValidations count="1">
    <dataValidation type="list" allowBlank="1" showInputMessage="1" showErrorMessage="1" sqref="C4:L4" xr:uid="{D9814EAC-EE9C-4525-8246-C205ED300C1B}">
      <formula1>Market_List</formula1>
    </dataValidation>
  </dataValidations>
  <printOptions horizontalCentered="1"/>
  <pageMargins left="0.25" right="0.25" top="0.75" bottom="0.75" header="0.25" footer="0.25"/>
  <pageSetup scale="59" orientation="landscape" horizontalDpi="1200" verticalDpi="1200" r:id="rId1"/>
  <headerFooter>
    <oddFooter>&amp;L2026 IND &amp;&amp; SG ACA MEDICAL RATE FILINGS -- COMMON EXHIBITS&amp;R03/21/2025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3A536-7B8E-46FD-A99A-C9903683AFB8}">
  <sheetPr codeName="Sheet3">
    <tabColor theme="9" tint="-0.499984740745262"/>
    <outlinePr summaryRight="0"/>
    <pageSetUpPr fitToPage="1"/>
  </sheetPr>
  <dimension ref="A1:W57"/>
  <sheetViews>
    <sheetView showGridLines="0" zoomScale="70" zoomScaleNormal="70" workbookViewId="0">
      <pane ySplit="9" topLeftCell="A10" activePane="bottomLeft" state="frozen"/>
      <selection pane="bottomLeft"/>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294</v>
      </c>
    </row>
    <row r="2" spans="1:23" customFormat="1" ht="15" x14ac:dyDescent="0.25"/>
    <row r="3" spans="1:23" ht="21" customHeight="1" x14ac:dyDescent="0.35">
      <c r="A3" s="270" t="s">
        <v>10</v>
      </c>
      <c r="C3" s="606" t="str">
        <f>CarrierName</f>
        <v>ABC Company</v>
      </c>
      <c r="D3" s="606"/>
      <c r="E3" s="606"/>
      <c r="F3" s="606"/>
      <c r="G3" s="606"/>
      <c r="H3" s="606"/>
      <c r="I3" s="606"/>
      <c r="J3" s="606"/>
      <c r="K3" s="606"/>
      <c r="L3" s="606"/>
      <c r="P3"/>
      <c r="Q3"/>
      <c r="R3"/>
      <c r="S3"/>
      <c r="T3"/>
      <c r="U3"/>
      <c r="V3"/>
      <c r="W3"/>
    </row>
    <row r="4" spans="1:23" ht="21" x14ac:dyDescent="0.35">
      <c r="A4" s="270" t="s">
        <v>0</v>
      </c>
      <c r="C4" s="606" t="str">
        <f>Market</f>
        <v>Individual</v>
      </c>
      <c r="D4" s="606"/>
      <c r="E4" s="606"/>
      <c r="F4" s="606"/>
      <c r="G4" s="606"/>
      <c r="H4" s="606"/>
      <c r="I4" s="606"/>
      <c r="J4" s="606"/>
      <c r="K4" s="606"/>
      <c r="L4" s="606"/>
      <c r="P4"/>
      <c r="Q4"/>
      <c r="R4"/>
      <c r="S4"/>
      <c r="T4"/>
      <c r="U4"/>
      <c r="V4"/>
      <c r="W4"/>
    </row>
    <row r="5" spans="1:23" ht="21" x14ac:dyDescent="0.35">
      <c r="A5" s="270" t="s">
        <v>12</v>
      </c>
      <c r="C5" s="606">
        <f>PlanYear</f>
        <v>2026</v>
      </c>
      <c r="D5" s="606"/>
      <c r="E5" s="606"/>
      <c r="F5" s="606"/>
      <c r="G5" s="606"/>
      <c r="H5" s="606"/>
      <c r="I5" s="606"/>
      <c r="J5" s="606"/>
      <c r="K5" s="606"/>
      <c r="L5" s="606"/>
      <c r="P5"/>
      <c r="Q5"/>
      <c r="R5"/>
      <c r="S5"/>
      <c r="T5"/>
      <c r="U5"/>
      <c r="V5"/>
      <c r="W5"/>
    </row>
    <row r="6" spans="1:23" ht="21" x14ac:dyDescent="0.35">
      <c r="A6" s="270" t="s">
        <v>13</v>
      </c>
      <c r="C6" s="606">
        <f>ExperYear</f>
        <v>2024</v>
      </c>
      <c r="D6" s="606"/>
      <c r="E6" s="606"/>
      <c r="F6" s="606"/>
      <c r="G6" s="606"/>
      <c r="H6" s="606"/>
      <c r="I6" s="606"/>
      <c r="J6" s="606"/>
      <c r="K6" s="606"/>
      <c r="L6" s="606"/>
    </row>
    <row r="7" spans="1:23" customFormat="1" x14ac:dyDescent="0.25">
      <c r="A7" s="265"/>
      <c r="P7" s="82"/>
      <c r="Q7" s="82"/>
      <c r="R7" s="82"/>
      <c r="S7" s="82"/>
      <c r="T7" s="82"/>
      <c r="U7" s="82"/>
      <c r="V7" s="82"/>
      <c r="W7" s="82"/>
    </row>
    <row r="8" spans="1:23" customFormat="1" ht="15" x14ac:dyDescent="0.25">
      <c r="A8" s="265"/>
    </row>
    <row r="9" spans="1:23" ht="21.75" thickBot="1" x14ac:dyDescent="0.4">
      <c r="A9" s="131" t="s">
        <v>50</v>
      </c>
      <c r="B9" s="131"/>
      <c r="F9" s="132"/>
      <c r="G9" s="131" t="s">
        <v>51</v>
      </c>
      <c r="H9" s="131"/>
      <c r="I9" s="131"/>
    </row>
    <row r="10" spans="1:23" ht="21.75" thickTop="1" x14ac:dyDescent="0.35">
      <c r="A10" s="78" t="str">
        <f>"EXPERIENCE -- "&amp;ExperYear-2</f>
        <v>EXPERIENCE -- 2022</v>
      </c>
      <c r="B10" s="103"/>
    </row>
    <row r="11" spans="1:23" ht="7.5" customHeight="1" x14ac:dyDescent="0.25"/>
    <row r="12" spans="1:23" x14ac:dyDescent="0.25">
      <c r="A12" s="288" t="s">
        <v>52</v>
      </c>
      <c r="B12" s="104" t="s">
        <v>53</v>
      </c>
      <c r="C12" s="104" t="s">
        <v>54</v>
      </c>
      <c r="D12" s="104" t="s">
        <v>55</v>
      </c>
      <c r="E12" s="104" t="s">
        <v>56</v>
      </c>
    </row>
    <row r="13" spans="1:23" x14ac:dyDescent="0.25">
      <c r="A13" s="289" t="s">
        <v>57</v>
      </c>
      <c r="B13" s="156" t="s">
        <v>58</v>
      </c>
      <c r="C13" s="105"/>
      <c r="D13" s="106"/>
      <c r="E13" s="107">
        <f>D13*C13/12000</f>
        <v>0</v>
      </c>
    </row>
    <row r="14" spans="1:23" x14ac:dyDescent="0.25">
      <c r="A14" s="289" t="s">
        <v>59</v>
      </c>
      <c r="B14" s="156" t="s">
        <v>60</v>
      </c>
      <c r="C14" s="105"/>
      <c r="D14" s="106"/>
      <c r="E14" s="107">
        <f>D14*C14/12000</f>
        <v>0</v>
      </c>
    </row>
    <row r="15" spans="1:23" x14ac:dyDescent="0.25">
      <c r="A15" s="289" t="s">
        <v>61</v>
      </c>
      <c r="B15" s="156" t="s">
        <v>60</v>
      </c>
      <c r="C15" s="105"/>
      <c r="D15" s="106"/>
      <c r="E15" s="107">
        <f>D15*C15/12000</f>
        <v>0</v>
      </c>
    </row>
    <row r="16" spans="1:23" x14ac:dyDescent="0.25">
      <c r="A16" s="289" t="s">
        <v>62</v>
      </c>
      <c r="B16" s="156" t="s">
        <v>63</v>
      </c>
      <c r="C16" s="105"/>
      <c r="D16" s="106"/>
      <c r="E16" s="107">
        <f>D16*C16/12000</f>
        <v>0</v>
      </c>
    </row>
    <row r="17" spans="1:14" ht="16.5" thickBot="1" x14ac:dyDescent="0.3">
      <c r="A17" s="290" t="s">
        <v>64</v>
      </c>
      <c r="B17" s="108"/>
      <c r="C17" s="109"/>
      <c r="D17" s="110"/>
      <c r="E17" s="110">
        <f>SUM(E13:E16)</f>
        <v>0</v>
      </c>
    </row>
    <row r="18" spans="1:14" ht="16.5" thickTop="1" x14ac:dyDescent="0.25">
      <c r="D18" s="102"/>
    </row>
    <row r="19" spans="1:14" s="132" customFormat="1" ht="21.75" thickBot="1" x14ac:dyDescent="0.4">
      <c r="A19" s="78" t="str">
        <f>"EXPERIENCE -- "&amp;ExperYear-1</f>
        <v>EXPERIENCE -- 2023</v>
      </c>
      <c r="B19" s="133"/>
      <c r="G19" s="133" t="str">
        <f>"EXPERIENCE TREND -- "&amp;RIGHT(A10,4)&amp;" to "&amp;RIGHT(A19,4)</f>
        <v>EXPERIENCE TREND -- 2022 to 2023</v>
      </c>
      <c r="I19" s="78"/>
    </row>
    <row r="20" spans="1:14" x14ac:dyDescent="0.25">
      <c r="A20" s="77"/>
      <c r="B20" s="103"/>
      <c r="G20" s="103"/>
      <c r="H20" s="111"/>
      <c r="I20" s="112"/>
      <c r="J20" s="113"/>
      <c r="K20" s="114" t="s">
        <v>65</v>
      </c>
      <c r="L20" s="115"/>
      <c r="M20" s="116"/>
      <c r="N20" s="117"/>
    </row>
    <row r="21" spans="1:14" ht="31.5" x14ac:dyDescent="0.25">
      <c r="A21" s="299" t="s">
        <v>52</v>
      </c>
      <c r="B21" s="300" t="s">
        <v>53</v>
      </c>
      <c r="C21" s="300" t="s">
        <v>54</v>
      </c>
      <c r="D21" s="300" t="s">
        <v>55</v>
      </c>
      <c r="E21" s="300" t="s">
        <v>56</v>
      </c>
      <c r="F21" s="301"/>
      <c r="G21" s="299" t="s">
        <v>66</v>
      </c>
      <c r="H21" s="302" t="s">
        <v>67</v>
      </c>
      <c r="I21" s="300" t="s">
        <v>68</v>
      </c>
      <c r="J21" s="303" t="s">
        <v>55</v>
      </c>
      <c r="K21" s="304" t="s">
        <v>69</v>
      </c>
      <c r="L21" s="300" t="s">
        <v>70</v>
      </c>
      <c r="M21" s="300" t="s">
        <v>55</v>
      </c>
      <c r="N21" s="303" t="s">
        <v>71</v>
      </c>
    </row>
    <row r="22" spans="1:14" x14ac:dyDescent="0.25">
      <c r="A22" s="289" t="s">
        <v>57</v>
      </c>
      <c r="B22" s="156" t="s">
        <v>58</v>
      </c>
      <c r="C22" s="105"/>
      <c r="D22" s="106"/>
      <c r="E22" s="107">
        <f>D22*C22/12000</f>
        <v>0</v>
      </c>
      <c r="G22" s="291" t="s">
        <v>57</v>
      </c>
      <c r="H22" s="121" t="str">
        <f>IFERROR(E22/E13-1,"")</f>
        <v/>
      </c>
      <c r="I22" s="122" t="str">
        <f>IFERROR(C22/C13-1,"")</f>
        <v/>
      </c>
      <c r="J22" s="123" t="str">
        <f>IFERROR(D22/D13-1,"")</f>
        <v/>
      </c>
      <c r="K22" s="139"/>
      <c r="L22" s="140"/>
      <c r="M22" s="122" cm="1">
        <f t="array" ref="M22">PRODUCT(1+K22:L22)-1</f>
        <v>0</v>
      </c>
      <c r="N22" s="577" t="str">
        <f>IFERROR((1+M22)=(1+J22),"TBD")</f>
        <v>TBD</v>
      </c>
    </row>
    <row r="23" spans="1:14" x14ac:dyDescent="0.25">
      <c r="A23" s="289" t="s">
        <v>59</v>
      </c>
      <c r="B23" s="156" t="s">
        <v>60</v>
      </c>
      <c r="C23" s="105"/>
      <c r="D23" s="106"/>
      <c r="E23" s="107">
        <f>D23*C23/12000</f>
        <v>0</v>
      </c>
      <c r="G23" s="291" t="s">
        <v>59</v>
      </c>
      <c r="H23" s="121" t="str">
        <f t="shared" ref="H23:H26" si="0">IFERROR(E23/E14-1,"")</f>
        <v/>
      </c>
      <c r="I23" s="122" t="str">
        <f t="shared" ref="I23:I25" si="1">IFERROR(C23/C14-1,"")</f>
        <v/>
      </c>
      <c r="J23" s="123" t="str">
        <f t="shared" ref="J23:J25" si="2">IFERROR(D23/D14-1,"")</f>
        <v/>
      </c>
      <c r="K23" s="139"/>
      <c r="L23" s="140"/>
      <c r="M23" s="122" cm="1">
        <f t="array" ref="M23">PRODUCT(1+K23:L23)-1</f>
        <v>0</v>
      </c>
      <c r="N23" s="577" t="str">
        <f t="shared" ref="N23:N25" si="3">IFERROR((1+M23)=(1+J23),"TBD")</f>
        <v>TBD</v>
      </c>
    </row>
    <row r="24" spans="1:14" x14ac:dyDescent="0.25">
      <c r="A24" s="289" t="s">
        <v>61</v>
      </c>
      <c r="B24" s="156" t="s">
        <v>60</v>
      </c>
      <c r="C24" s="105"/>
      <c r="D24" s="106"/>
      <c r="E24" s="107">
        <f>D24*C24/12000</f>
        <v>0</v>
      </c>
      <c r="G24" s="291" t="s">
        <v>61</v>
      </c>
      <c r="H24" s="121" t="str">
        <f t="shared" si="0"/>
        <v/>
      </c>
      <c r="I24" s="122" t="str">
        <f t="shared" si="1"/>
        <v/>
      </c>
      <c r="J24" s="123" t="str">
        <f t="shared" si="2"/>
        <v/>
      </c>
      <c r="K24" s="139"/>
      <c r="L24" s="140"/>
      <c r="M24" s="122" cm="1">
        <f t="array" ref="M24">PRODUCT(1+K24:L24)-1</f>
        <v>0</v>
      </c>
      <c r="N24" s="577" t="str">
        <f t="shared" si="3"/>
        <v>TBD</v>
      </c>
    </row>
    <row r="25" spans="1:14" x14ac:dyDescent="0.25">
      <c r="A25" s="289" t="s">
        <v>62</v>
      </c>
      <c r="B25" s="156" t="s">
        <v>63</v>
      </c>
      <c r="C25" s="105"/>
      <c r="D25" s="106"/>
      <c r="E25" s="107">
        <f>D25*C25/12000</f>
        <v>0</v>
      </c>
      <c r="G25" s="291" t="s">
        <v>62</v>
      </c>
      <c r="H25" s="121" t="str">
        <f t="shared" si="0"/>
        <v/>
      </c>
      <c r="I25" s="122" t="str">
        <f t="shared" si="1"/>
        <v/>
      </c>
      <c r="J25" s="123" t="str">
        <f t="shared" si="2"/>
        <v/>
      </c>
      <c r="K25" s="139"/>
      <c r="L25" s="140"/>
      <c r="M25" s="122" cm="1">
        <f t="array" ref="M25">PRODUCT(1+K25:L25)-1</f>
        <v>0</v>
      </c>
      <c r="N25" s="577" t="str">
        <f t="shared" si="3"/>
        <v>TBD</v>
      </c>
    </row>
    <row r="26" spans="1:14" ht="16.5" thickBot="1" x14ac:dyDescent="0.3">
      <c r="A26" s="290" t="s">
        <v>64</v>
      </c>
      <c r="B26" s="108"/>
      <c r="C26" s="109"/>
      <c r="D26" s="110"/>
      <c r="E26" s="110">
        <f>SUM(E22:E25)</f>
        <v>0</v>
      </c>
      <c r="G26" s="292" t="s">
        <v>64</v>
      </c>
      <c r="H26" s="124" t="str">
        <f t="shared" si="0"/>
        <v/>
      </c>
      <c r="I26" s="125"/>
      <c r="J26" s="126"/>
      <c r="K26" s="127"/>
      <c r="L26" s="125"/>
      <c r="M26" s="128"/>
      <c r="N26" s="126"/>
    </row>
    <row r="27" spans="1:14" ht="16.5" thickTop="1" x14ac:dyDescent="0.25"/>
    <row r="28" spans="1:14" s="132" customFormat="1" ht="21.75" thickBot="1" x14ac:dyDescent="0.4">
      <c r="A28" s="78" t="str">
        <f>"EXPERIENCE -- "&amp;ExperYear</f>
        <v>EXPERIENCE -- 2024</v>
      </c>
      <c r="B28" s="133"/>
      <c r="G28" s="133" t="str">
        <f>"EXPERIENCE TREND -- "&amp;RIGHT(A19,4)&amp;" to "&amp;RIGHT(A28,4)</f>
        <v>EXPERIENCE TREND -- 2023 to 2024</v>
      </c>
      <c r="I28" s="78"/>
    </row>
    <row r="29" spans="1:14" x14ac:dyDescent="0.25">
      <c r="A29" s="77"/>
      <c r="B29" s="103"/>
      <c r="G29" s="103"/>
      <c r="H29" s="111"/>
      <c r="I29" s="112"/>
      <c r="J29" s="113"/>
      <c r="K29" s="114" t="s">
        <v>65</v>
      </c>
      <c r="L29" s="115"/>
      <c r="M29" s="116"/>
      <c r="N29" s="117"/>
    </row>
    <row r="30" spans="1:14" ht="31.5" x14ac:dyDescent="0.25">
      <c r="A30" s="299" t="s">
        <v>52</v>
      </c>
      <c r="B30" s="300" t="s">
        <v>53</v>
      </c>
      <c r="C30" s="300" t="s">
        <v>54</v>
      </c>
      <c r="D30" s="300" t="s">
        <v>55</v>
      </c>
      <c r="E30" s="300" t="s">
        <v>56</v>
      </c>
      <c r="F30" s="301"/>
      <c r="G30" s="299" t="s">
        <v>66</v>
      </c>
      <c r="H30" s="302" t="s">
        <v>67</v>
      </c>
      <c r="I30" s="300" t="s">
        <v>68</v>
      </c>
      <c r="J30" s="303" t="s">
        <v>55</v>
      </c>
      <c r="K30" s="304" t="s">
        <v>69</v>
      </c>
      <c r="L30" s="300" t="s">
        <v>70</v>
      </c>
      <c r="M30" s="300" t="s">
        <v>55</v>
      </c>
      <c r="N30" s="303" t="s">
        <v>71</v>
      </c>
    </row>
    <row r="31" spans="1:14" x14ac:dyDescent="0.25">
      <c r="A31" s="289" t="s">
        <v>57</v>
      </c>
      <c r="B31" s="156" t="s">
        <v>58</v>
      </c>
      <c r="C31" s="105"/>
      <c r="D31" s="106"/>
      <c r="E31" s="107">
        <f>D31*C31/12000</f>
        <v>0</v>
      </c>
      <c r="G31" s="289" t="s">
        <v>57</v>
      </c>
      <c r="H31" s="121" t="str">
        <f>IFERROR(E31/E22-1,"")</f>
        <v/>
      </c>
      <c r="I31" s="122" t="str">
        <f>IFERROR(C31/C22-1,"")</f>
        <v/>
      </c>
      <c r="J31" s="123" t="str">
        <f>IFERROR(D31/D22-1,"")</f>
        <v/>
      </c>
      <c r="K31" s="139"/>
      <c r="L31" s="140"/>
      <c r="M31" s="122" cm="1">
        <f t="array" ref="M31">PRODUCT(1+K31:L31)-1</f>
        <v>0</v>
      </c>
      <c r="N31" s="577" t="str">
        <f>IFERROR((1+M31)=(1+J31),"TBD")</f>
        <v>TBD</v>
      </c>
    </row>
    <row r="32" spans="1:14" x14ac:dyDescent="0.25">
      <c r="A32" s="289" t="s">
        <v>59</v>
      </c>
      <c r="B32" s="156" t="s">
        <v>60</v>
      </c>
      <c r="C32" s="105"/>
      <c r="D32" s="106"/>
      <c r="E32" s="107">
        <f>D32*C32/12000</f>
        <v>0</v>
      </c>
      <c r="G32" s="289" t="s">
        <v>59</v>
      </c>
      <c r="H32" s="121" t="str">
        <f t="shared" ref="H32:H35" si="4">IFERROR(E32/E23-1,"")</f>
        <v/>
      </c>
      <c r="I32" s="122" t="str">
        <f t="shared" ref="I32:I34" si="5">IFERROR(C32/C23-1,"")</f>
        <v/>
      </c>
      <c r="J32" s="123" t="str">
        <f t="shared" ref="J32:J34" si="6">IFERROR(D32/D23-1,"")</f>
        <v/>
      </c>
      <c r="K32" s="139"/>
      <c r="L32" s="140"/>
      <c r="M32" s="122" cm="1">
        <f t="array" ref="M32">PRODUCT(1+K32:L32)-1</f>
        <v>0</v>
      </c>
      <c r="N32" s="577" t="str">
        <f t="shared" ref="N32:N34" si="7">IFERROR((1+M32)=(1+J32),"TBD")</f>
        <v>TBD</v>
      </c>
    </row>
    <row r="33" spans="1:14" x14ac:dyDescent="0.25">
      <c r="A33" s="289" t="s">
        <v>61</v>
      </c>
      <c r="B33" s="156" t="s">
        <v>60</v>
      </c>
      <c r="C33" s="105"/>
      <c r="D33" s="106"/>
      <c r="E33" s="107">
        <f>D33*C33/12000</f>
        <v>0</v>
      </c>
      <c r="G33" s="289" t="s">
        <v>61</v>
      </c>
      <c r="H33" s="121" t="str">
        <f t="shared" si="4"/>
        <v/>
      </c>
      <c r="I33" s="122" t="str">
        <f t="shared" si="5"/>
        <v/>
      </c>
      <c r="J33" s="123" t="str">
        <f t="shared" si="6"/>
        <v/>
      </c>
      <c r="K33" s="139"/>
      <c r="L33" s="140"/>
      <c r="M33" s="122" cm="1">
        <f t="array" ref="M33">PRODUCT(1+K33:L33)-1</f>
        <v>0</v>
      </c>
      <c r="N33" s="577" t="str">
        <f t="shared" si="7"/>
        <v>TBD</v>
      </c>
    </row>
    <row r="34" spans="1:14" x14ac:dyDescent="0.25">
      <c r="A34" s="289" t="s">
        <v>62</v>
      </c>
      <c r="B34" s="156" t="s">
        <v>63</v>
      </c>
      <c r="C34" s="105"/>
      <c r="D34" s="106"/>
      <c r="E34" s="107">
        <f>D34*C34/12000</f>
        <v>0</v>
      </c>
      <c r="G34" s="289" t="s">
        <v>62</v>
      </c>
      <c r="H34" s="121" t="str">
        <f t="shared" si="4"/>
        <v/>
      </c>
      <c r="I34" s="122" t="str">
        <f t="shared" si="5"/>
        <v/>
      </c>
      <c r="J34" s="123" t="str">
        <f t="shared" si="6"/>
        <v/>
      </c>
      <c r="K34" s="139"/>
      <c r="L34" s="140"/>
      <c r="M34" s="122" cm="1">
        <f t="array" ref="M34">PRODUCT(1+K34:L34)-1</f>
        <v>0</v>
      </c>
      <c r="N34" s="577" t="str">
        <f t="shared" si="7"/>
        <v>TBD</v>
      </c>
    </row>
    <row r="35" spans="1:14" ht="16.5" thickBot="1" x14ac:dyDescent="0.3">
      <c r="A35" s="290" t="s">
        <v>64</v>
      </c>
      <c r="B35" s="129"/>
      <c r="C35" s="108"/>
      <c r="D35" s="110"/>
      <c r="E35" s="110">
        <f>SUM(E31:E34)</f>
        <v>0</v>
      </c>
      <c r="G35" s="292" t="s">
        <v>64</v>
      </c>
      <c r="H35" s="124" t="str">
        <f t="shared" si="4"/>
        <v/>
      </c>
      <c r="I35" s="125"/>
      <c r="J35" s="126"/>
      <c r="K35" s="127"/>
      <c r="L35" s="125"/>
      <c r="M35" s="128"/>
      <c r="N35" s="126"/>
    </row>
    <row r="36" spans="1:14" ht="16.5" thickTop="1" x14ac:dyDescent="0.25"/>
    <row r="37" spans="1:14" s="132" customFormat="1" ht="21.75" thickBot="1" x14ac:dyDescent="0.4">
      <c r="A37" s="78" t="str">
        <f>"PROJECTED (i.e., EXPECTED) -- "&amp;PlanYear</f>
        <v>PROJECTED (i.e., EXPECTED) -- 2026</v>
      </c>
      <c r="B37" s="133"/>
      <c r="G37" s="133" t="str">
        <f>"ANNUALIZED PROJECTED TREND -- "&amp;ExperYear&amp;" to "&amp;PlanYear</f>
        <v>ANNUALIZED PROJECTED TREND -- 2024 to 2026</v>
      </c>
      <c r="I37" s="78"/>
    </row>
    <row r="38" spans="1:14" x14ac:dyDescent="0.25">
      <c r="A38" s="77"/>
      <c r="B38" s="103"/>
      <c r="G38" s="103"/>
      <c r="H38" s="111"/>
      <c r="I38" s="112"/>
      <c r="J38" s="113"/>
      <c r="K38" s="114" t="s">
        <v>65</v>
      </c>
      <c r="L38" s="115"/>
      <c r="M38" s="116"/>
      <c r="N38" s="117"/>
    </row>
    <row r="39" spans="1:14" ht="31.5" x14ac:dyDescent="0.25">
      <c r="A39" s="104" t="s">
        <v>52</v>
      </c>
      <c r="B39" s="104" t="s">
        <v>53</v>
      </c>
      <c r="C39" s="104" t="s">
        <v>54</v>
      </c>
      <c r="D39" s="104" t="s">
        <v>55</v>
      </c>
      <c r="E39" s="104" t="s">
        <v>56</v>
      </c>
      <c r="F39" s="305"/>
      <c r="G39" s="104" t="s">
        <v>66</v>
      </c>
      <c r="H39" s="118" t="s">
        <v>67</v>
      </c>
      <c r="I39" s="104" t="s">
        <v>68</v>
      </c>
      <c r="J39" s="119" t="s">
        <v>55</v>
      </c>
      <c r="K39" s="120" t="s">
        <v>69</v>
      </c>
      <c r="L39" s="104" t="s">
        <v>70</v>
      </c>
      <c r="M39" s="104" t="s">
        <v>55</v>
      </c>
      <c r="N39" s="119" t="s">
        <v>71</v>
      </c>
    </row>
    <row r="40" spans="1:14" x14ac:dyDescent="0.25">
      <c r="A40" s="289" t="s">
        <v>57</v>
      </c>
      <c r="B40" s="156" t="s">
        <v>58</v>
      </c>
      <c r="C40" s="105"/>
      <c r="D40" s="106"/>
      <c r="E40" s="107">
        <f>D40*C40/12000</f>
        <v>0</v>
      </c>
      <c r="G40" s="289" t="s">
        <v>57</v>
      </c>
      <c r="H40" s="121" t="str">
        <f>IFERROR((E40/E31)^0.5-1,"")</f>
        <v/>
      </c>
      <c r="I40" s="122" t="str">
        <f>IFERROR((C40/C31)^0.5-1,"")</f>
        <v/>
      </c>
      <c r="J40" s="123" t="str">
        <f>IFERROR((D40/D31)^0.5-1,"")</f>
        <v/>
      </c>
      <c r="K40" s="139"/>
      <c r="L40" s="140"/>
      <c r="M40" s="122" cm="1">
        <f t="array" ref="M40">PRODUCT(1+K40:L40)-1</f>
        <v>0</v>
      </c>
      <c r="N40" s="577" t="str">
        <f>IFERROR((1+M40)=(1+J40),"TBD")</f>
        <v>TBD</v>
      </c>
    </row>
    <row r="41" spans="1:14" x14ac:dyDescent="0.25">
      <c r="A41" s="289" t="s">
        <v>59</v>
      </c>
      <c r="B41" s="156" t="s">
        <v>60</v>
      </c>
      <c r="C41" s="105"/>
      <c r="D41" s="106"/>
      <c r="E41" s="107">
        <f>D41*C41/12000</f>
        <v>0</v>
      </c>
      <c r="G41" s="289" t="s">
        <v>59</v>
      </c>
      <c r="H41" s="121" t="str">
        <f t="shared" ref="H41:H44" si="8">IFERROR((E41/E32)^0.5-1,"")</f>
        <v/>
      </c>
      <c r="I41" s="122" t="str">
        <f t="shared" ref="I41:I43" si="9">IFERROR((C41/C32)^0.5-1,"")</f>
        <v/>
      </c>
      <c r="J41" s="123" t="str">
        <f t="shared" ref="J41:J43" si="10">IFERROR((D41/D32)^0.5-1,"")</f>
        <v/>
      </c>
      <c r="K41" s="139"/>
      <c r="L41" s="140"/>
      <c r="M41" s="122" cm="1">
        <f t="array" ref="M41">PRODUCT(1+K41:L41)-1</f>
        <v>0</v>
      </c>
      <c r="N41" s="577" t="str">
        <f t="shared" ref="N41:N43" si="11">IFERROR((1+M41)=(1+J41),"TBD")</f>
        <v>TBD</v>
      </c>
    </row>
    <row r="42" spans="1:14" x14ac:dyDescent="0.25">
      <c r="A42" s="289" t="s">
        <v>61</v>
      </c>
      <c r="B42" s="156" t="s">
        <v>60</v>
      </c>
      <c r="C42" s="105"/>
      <c r="D42" s="106"/>
      <c r="E42" s="107">
        <f>D42*C42/12000</f>
        <v>0</v>
      </c>
      <c r="G42" s="289" t="s">
        <v>61</v>
      </c>
      <c r="H42" s="121" t="str">
        <f t="shared" si="8"/>
        <v/>
      </c>
      <c r="I42" s="122" t="str">
        <f t="shared" si="9"/>
        <v/>
      </c>
      <c r="J42" s="123" t="str">
        <f t="shared" si="10"/>
        <v/>
      </c>
      <c r="K42" s="139"/>
      <c r="L42" s="140"/>
      <c r="M42" s="122" cm="1">
        <f t="array" ref="M42">PRODUCT(1+K42:L42)-1</f>
        <v>0</v>
      </c>
      <c r="N42" s="577" t="str">
        <f t="shared" si="11"/>
        <v>TBD</v>
      </c>
    </row>
    <row r="43" spans="1:14" x14ac:dyDescent="0.25">
      <c r="A43" s="289" t="s">
        <v>62</v>
      </c>
      <c r="B43" s="156" t="s">
        <v>63</v>
      </c>
      <c r="C43" s="105"/>
      <c r="D43" s="106"/>
      <c r="E43" s="107">
        <f>D43*C43/12000</f>
        <v>0</v>
      </c>
      <c r="G43" s="289" t="s">
        <v>62</v>
      </c>
      <c r="H43" s="121" t="str">
        <f t="shared" si="8"/>
        <v/>
      </c>
      <c r="I43" s="122" t="str">
        <f t="shared" si="9"/>
        <v/>
      </c>
      <c r="J43" s="123" t="str">
        <f t="shared" si="10"/>
        <v/>
      </c>
      <c r="K43" s="139"/>
      <c r="L43" s="140"/>
      <c r="M43" s="122" cm="1">
        <f t="array" ref="M43">PRODUCT(1+K43:L43)-1</f>
        <v>0</v>
      </c>
      <c r="N43" s="577" t="str">
        <f t="shared" si="11"/>
        <v>TBD</v>
      </c>
    </row>
    <row r="44" spans="1:14" ht="16.5" thickBot="1" x14ac:dyDescent="0.3">
      <c r="A44" s="290" t="s">
        <v>64</v>
      </c>
      <c r="B44" s="129"/>
      <c r="C44" s="108"/>
      <c r="D44" s="110"/>
      <c r="E44" s="110">
        <f>SUM(E40:E43)</f>
        <v>0</v>
      </c>
      <c r="G44" s="292" t="s">
        <v>64</v>
      </c>
      <c r="H44" s="124" t="str">
        <f t="shared" si="8"/>
        <v/>
      </c>
      <c r="I44" s="125"/>
      <c r="J44" s="126"/>
      <c r="K44" s="127"/>
      <c r="L44" s="125"/>
      <c r="M44" s="128"/>
      <c r="N44" s="126"/>
    </row>
    <row r="45" spans="1:14" ht="16.5" thickTop="1" x14ac:dyDescent="0.25"/>
    <row r="46" spans="1:14" x14ac:dyDescent="0.25">
      <c r="I46" s="102"/>
      <c r="N46" s="130"/>
    </row>
    <row r="47" spans="1:14" s="132" customFormat="1" ht="21.75" thickBot="1" x14ac:dyDescent="0.4">
      <c r="A47" s="131" t="s">
        <v>49</v>
      </c>
      <c r="B47" s="131"/>
      <c r="C47" s="131"/>
    </row>
    <row r="48" spans="1:14" ht="16.5" thickTop="1" x14ac:dyDescent="0.25">
      <c r="A48" s="600"/>
      <c r="B48" s="600"/>
      <c r="C48" s="600"/>
      <c r="D48" s="600"/>
      <c r="E48" s="600"/>
      <c r="F48" s="600"/>
      <c r="G48" s="600"/>
      <c r="H48" s="600"/>
      <c r="I48" s="600"/>
      <c r="J48" s="600"/>
      <c r="K48" s="600"/>
      <c r="L48" s="600"/>
      <c r="M48" s="600"/>
      <c r="N48" s="600"/>
    </row>
    <row r="49" spans="1:14" x14ac:dyDescent="0.25">
      <c r="A49" s="600"/>
      <c r="B49" s="600"/>
      <c r="C49" s="600"/>
      <c r="D49" s="600"/>
      <c r="E49" s="600"/>
      <c r="F49" s="600"/>
      <c r="G49" s="600"/>
      <c r="H49" s="600"/>
      <c r="I49" s="600"/>
      <c r="J49" s="600"/>
      <c r="K49" s="600"/>
      <c r="L49" s="600"/>
      <c r="M49" s="600"/>
      <c r="N49" s="600"/>
    </row>
    <row r="50" spans="1:14" x14ac:dyDescent="0.25">
      <c r="A50" s="600"/>
      <c r="B50" s="600"/>
      <c r="C50" s="600"/>
      <c r="D50" s="600"/>
      <c r="E50" s="600"/>
      <c r="F50" s="600"/>
      <c r="G50" s="600"/>
      <c r="H50" s="600"/>
      <c r="I50" s="600"/>
      <c r="J50" s="600"/>
      <c r="K50" s="600"/>
      <c r="L50" s="600"/>
      <c r="M50" s="600"/>
      <c r="N50" s="600"/>
    </row>
    <row r="51" spans="1:14" x14ac:dyDescent="0.25">
      <c r="A51" s="600"/>
      <c r="B51" s="600"/>
      <c r="C51" s="600"/>
      <c r="D51" s="600"/>
      <c r="E51" s="600"/>
      <c r="F51" s="600"/>
      <c r="G51" s="600"/>
      <c r="H51" s="600"/>
      <c r="I51" s="600"/>
      <c r="J51" s="600"/>
      <c r="K51" s="600"/>
      <c r="L51" s="600"/>
      <c r="M51" s="600"/>
      <c r="N51" s="600"/>
    </row>
    <row r="52" spans="1:14" x14ac:dyDescent="0.25">
      <c r="A52" s="600"/>
      <c r="B52" s="600"/>
      <c r="C52" s="600"/>
      <c r="D52" s="600"/>
      <c r="E52" s="600"/>
      <c r="F52" s="600"/>
      <c r="G52" s="600"/>
      <c r="H52" s="600"/>
      <c r="I52" s="600"/>
      <c r="J52" s="600"/>
      <c r="K52" s="600"/>
      <c r="L52" s="600"/>
      <c r="M52" s="600"/>
      <c r="N52" s="600"/>
    </row>
    <row r="53" spans="1:14" x14ac:dyDescent="0.25">
      <c r="A53" s="600"/>
      <c r="B53" s="600"/>
      <c r="C53" s="600"/>
      <c r="D53" s="600"/>
      <c r="E53" s="600"/>
      <c r="F53" s="600"/>
      <c r="G53" s="600"/>
      <c r="H53" s="600"/>
      <c r="I53" s="600"/>
      <c r="J53" s="600"/>
      <c r="K53" s="600"/>
      <c r="L53" s="600"/>
      <c r="M53" s="600"/>
      <c r="N53" s="600"/>
    </row>
    <row r="54" spans="1:14" x14ac:dyDescent="0.25">
      <c r="A54" s="366"/>
      <c r="B54" s="366"/>
      <c r="C54" s="366"/>
      <c r="D54" s="366"/>
      <c r="E54" s="366"/>
      <c r="F54" s="366"/>
      <c r="G54" s="366"/>
      <c r="H54" s="366"/>
      <c r="I54" s="366"/>
      <c r="J54" s="366"/>
      <c r="K54" s="366"/>
      <c r="L54" s="366"/>
      <c r="M54" s="366"/>
      <c r="N54" s="366"/>
    </row>
    <row r="55" spans="1:14" x14ac:dyDescent="0.25">
      <c r="A55" s="366"/>
      <c r="B55" s="366"/>
      <c r="C55" s="366"/>
      <c r="D55" s="366"/>
      <c r="E55" s="366"/>
      <c r="F55" s="366"/>
      <c r="G55" s="366"/>
      <c r="H55" s="366"/>
      <c r="I55" s="366"/>
      <c r="J55" s="366"/>
      <c r="K55" s="366"/>
      <c r="L55" s="366"/>
      <c r="M55" s="366"/>
      <c r="N55" s="366"/>
    </row>
    <row r="56" spans="1:14" x14ac:dyDescent="0.25">
      <c r="A56" s="366"/>
      <c r="B56" s="366"/>
      <c r="C56" s="366"/>
      <c r="D56" s="366"/>
      <c r="E56" s="366"/>
      <c r="F56" s="366"/>
      <c r="G56" s="366"/>
      <c r="H56" s="366"/>
      <c r="I56" s="366"/>
      <c r="J56" s="366"/>
      <c r="K56" s="366"/>
      <c r="L56" s="366"/>
      <c r="M56" s="366"/>
      <c r="N56" s="366"/>
    </row>
    <row r="57" spans="1:14" x14ac:dyDescent="0.25">
      <c r="A57" s="366"/>
      <c r="B57" s="366"/>
      <c r="C57" s="366"/>
      <c r="D57" s="366"/>
      <c r="E57" s="366"/>
      <c r="F57" s="366"/>
      <c r="G57" s="366"/>
      <c r="H57" s="366"/>
      <c r="I57" s="366"/>
      <c r="J57" s="366"/>
      <c r="K57" s="366"/>
      <c r="L57" s="366"/>
      <c r="M57" s="366"/>
      <c r="N57" s="366"/>
    </row>
  </sheetData>
  <mergeCells count="10">
    <mergeCell ref="A53:N53"/>
    <mergeCell ref="C3:L3"/>
    <mergeCell ref="C5:L5"/>
    <mergeCell ref="C6:L6"/>
    <mergeCell ref="C4:L4"/>
    <mergeCell ref="A50:N50"/>
    <mergeCell ref="A51:N51"/>
    <mergeCell ref="A52:N52"/>
    <mergeCell ref="A48:N48"/>
    <mergeCell ref="A49:N49"/>
  </mergeCells>
  <conditionalFormatting sqref="N22:N25 N31:N34 N40:N43">
    <cfRule type="cellIs" dxfId="9" priority="1" operator="equal">
      <formula>FALSE</formula>
    </cfRule>
  </conditionalFormatting>
  <printOptions horizontalCentered="1"/>
  <pageMargins left="0.25" right="0.25" top="0.75" bottom="0.75" header="0.25" footer="0.25"/>
  <pageSetup scale="52" orientation="landscape" horizontalDpi="1200" verticalDpi="1200" r:id="rId1"/>
  <headerFooter>
    <oddFooter>&amp;L2026 IND &amp;&amp; SG ACA MEDICAL RATE FILINGS -- COMMON EXHIBITS&amp;R03/21/2025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821-65FA-443E-A353-27EC71323B68}">
  <sheetPr>
    <tabColor theme="0" tint="-0.499984740745262"/>
    <outlinePr summaryRight="0"/>
    <pageSetUpPr fitToPage="1"/>
  </sheetPr>
  <dimension ref="A1:W58"/>
  <sheetViews>
    <sheetView showGridLines="0" zoomScale="70" zoomScaleNormal="70" workbookViewId="0">
      <pane ySplit="10" topLeftCell="A11" activePane="bottomLeft" state="frozen"/>
      <selection pane="bottomLeft"/>
    </sheetView>
  </sheetViews>
  <sheetFormatPr defaultRowHeight="15.75" x14ac:dyDescent="0.25"/>
  <cols>
    <col min="1" max="1" width="31.7109375" style="82" bestFit="1" customWidth="1"/>
    <col min="2" max="2" width="16.85546875" style="82" bestFit="1" customWidth="1"/>
    <col min="3" max="3" width="15.85546875" style="82" bestFit="1" customWidth="1"/>
    <col min="4" max="4" width="15.5703125" style="82" customWidth="1"/>
    <col min="5" max="5" width="20.42578125" style="82" bestFit="1" customWidth="1"/>
    <col min="6" max="6" width="3.7109375" style="82" customWidth="1"/>
    <col min="7" max="7" width="22.85546875" style="82" customWidth="1"/>
    <col min="8" max="8" width="15.28515625" style="82" bestFit="1" customWidth="1"/>
    <col min="9" max="9" width="13" style="82" bestFit="1" customWidth="1"/>
    <col min="10" max="10" width="14.42578125" style="82" bestFit="1" customWidth="1"/>
    <col min="11" max="11" width="15.85546875" style="82" bestFit="1" customWidth="1"/>
    <col min="12" max="12" width="16.85546875" style="82" bestFit="1" customWidth="1"/>
    <col min="13" max="13" width="12" style="82" bestFit="1" customWidth="1"/>
    <col min="14" max="14" width="8.85546875" style="82" bestFit="1" customWidth="1"/>
    <col min="15" max="15" width="3.5703125" style="82" customWidth="1"/>
    <col min="16" max="16384" width="9.140625" style="82"/>
  </cols>
  <sheetData>
    <row r="1" spans="1:23" ht="26.25" x14ac:dyDescent="0.4">
      <c r="A1" s="76" t="s">
        <v>294</v>
      </c>
    </row>
    <row r="2" spans="1:23" ht="21" x14ac:dyDescent="0.35">
      <c r="A2" s="576" t="s">
        <v>73</v>
      </c>
      <c r="B2" s="229"/>
      <c r="C2" s="229"/>
      <c r="D2" s="229"/>
      <c r="E2" s="229"/>
    </row>
    <row r="3" spans="1:23" customFormat="1" x14ac:dyDescent="0.25">
      <c r="A3" s="287" t="s">
        <v>74</v>
      </c>
      <c r="B3" s="229"/>
      <c r="C3" s="229"/>
      <c r="D3" s="229"/>
      <c r="E3" s="229"/>
    </row>
    <row r="4" spans="1:23" ht="21" customHeight="1" x14ac:dyDescent="0.35">
      <c r="A4" s="270" t="s">
        <v>10</v>
      </c>
      <c r="C4" s="606" t="str">
        <f>CarrierName</f>
        <v>ABC Company</v>
      </c>
      <c r="D4" s="606"/>
      <c r="E4" s="606"/>
      <c r="F4" s="606"/>
      <c r="G4" s="606"/>
      <c r="H4" s="606"/>
      <c r="I4" s="606"/>
      <c r="J4" s="606"/>
      <c r="K4" s="606"/>
      <c r="L4" s="606"/>
    </row>
    <row r="5" spans="1:23" ht="21" x14ac:dyDescent="0.35">
      <c r="A5" s="270" t="s">
        <v>0</v>
      </c>
      <c r="C5" s="606" t="str">
        <f>Market</f>
        <v>Individual</v>
      </c>
      <c r="D5" s="606"/>
      <c r="E5" s="606"/>
      <c r="F5" s="606"/>
      <c r="G5" s="606"/>
      <c r="H5" s="606"/>
      <c r="I5" s="606"/>
      <c r="J5" s="606"/>
      <c r="K5" s="606"/>
      <c r="L5" s="606"/>
    </row>
    <row r="6" spans="1:23" ht="21" x14ac:dyDescent="0.35">
      <c r="A6" s="270" t="s">
        <v>12</v>
      </c>
      <c r="C6" s="606">
        <f>PlanYear</f>
        <v>2026</v>
      </c>
      <c r="D6" s="606"/>
      <c r="E6" s="606"/>
      <c r="F6" s="606"/>
      <c r="G6" s="606"/>
      <c r="H6" s="606"/>
      <c r="I6" s="606"/>
      <c r="J6" s="606"/>
      <c r="K6" s="606"/>
      <c r="L6" s="606"/>
      <c r="P6"/>
      <c r="Q6"/>
      <c r="R6"/>
      <c r="S6"/>
      <c r="T6"/>
      <c r="U6"/>
      <c r="V6"/>
      <c r="W6"/>
    </row>
    <row r="7" spans="1:23" ht="21" x14ac:dyDescent="0.35">
      <c r="A7" s="270" t="s">
        <v>13</v>
      </c>
      <c r="C7" s="606">
        <f>ExperYear</f>
        <v>2024</v>
      </c>
      <c r="D7" s="606"/>
      <c r="E7" s="606"/>
      <c r="F7" s="606"/>
      <c r="G7" s="606"/>
      <c r="H7" s="606"/>
      <c r="I7" s="606"/>
      <c r="J7" s="606"/>
      <c r="K7" s="606"/>
      <c r="L7" s="606"/>
    </row>
    <row r="8" spans="1:23" customFormat="1" x14ac:dyDescent="0.25">
      <c r="A8" s="265"/>
      <c r="P8" s="82"/>
      <c r="Q8" s="82"/>
      <c r="R8" s="82"/>
      <c r="S8" s="82"/>
      <c r="T8" s="82"/>
      <c r="U8" s="82"/>
      <c r="V8" s="82"/>
      <c r="W8" s="82"/>
    </row>
    <row r="9" spans="1:23" customFormat="1" ht="15" x14ac:dyDescent="0.25">
      <c r="A9" s="265"/>
    </row>
    <row r="10" spans="1:23" ht="21.75" thickBot="1" x14ac:dyDescent="0.4">
      <c r="A10" s="131" t="s">
        <v>50</v>
      </c>
      <c r="B10" s="131"/>
      <c r="F10" s="132"/>
      <c r="G10" s="131" t="s">
        <v>51</v>
      </c>
      <c r="H10" s="131"/>
      <c r="I10" s="131"/>
    </row>
    <row r="11" spans="1:23" ht="21.75" thickTop="1" x14ac:dyDescent="0.35">
      <c r="A11" s="78" t="str">
        <f>"EXPERIENCE -- "&amp;ExperYear-2</f>
        <v>EXPERIENCE -- 2022</v>
      </c>
      <c r="B11" s="103"/>
    </row>
    <row r="12" spans="1:23" ht="7.5" customHeight="1" x14ac:dyDescent="0.25"/>
    <row r="13" spans="1:23" x14ac:dyDescent="0.25">
      <c r="A13" s="288" t="s">
        <v>52</v>
      </c>
      <c r="B13" s="104" t="s">
        <v>53</v>
      </c>
      <c r="C13" s="104" t="s">
        <v>54</v>
      </c>
      <c r="D13" s="104" t="s">
        <v>55</v>
      </c>
      <c r="E13" s="104" t="s">
        <v>56</v>
      </c>
    </row>
    <row r="14" spans="1:23" x14ac:dyDescent="0.25">
      <c r="A14" s="289" t="s">
        <v>57</v>
      </c>
      <c r="B14" s="156" t="s">
        <v>58</v>
      </c>
      <c r="C14" s="105">
        <v>165</v>
      </c>
      <c r="D14" s="106">
        <v>6000</v>
      </c>
      <c r="E14" s="107">
        <f>D14*C14/12000</f>
        <v>82.5</v>
      </c>
    </row>
    <row r="15" spans="1:23" x14ac:dyDescent="0.25">
      <c r="A15" s="289" t="s">
        <v>59</v>
      </c>
      <c r="B15" s="156" t="s">
        <v>60</v>
      </c>
      <c r="C15" s="105">
        <v>4000</v>
      </c>
      <c r="D15" s="106">
        <v>450</v>
      </c>
      <c r="E15" s="107">
        <f>D15*C15/12000</f>
        <v>150</v>
      </c>
    </row>
    <row r="16" spans="1:23" x14ac:dyDescent="0.25">
      <c r="A16" s="289" t="s">
        <v>61</v>
      </c>
      <c r="B16" s="156" t="s">
        <v>60</v>
      </c>
      <c r="C16" s="105">
        <v>6600</v>
      </c>
      <c r="D16" s="106">
        <v>320</v>
      </c>
      <c r="E16" s="107">
        <f>D16*C16/12000</f>
        <v>176</v>
      </c>
    </row>
    <row r="17" spans="1:14" x14ac:dyDescent="0.25">
      <c r="A17" s="289" t="s">
        <v>62</v>
      </c>
      <c r="B17" s="156" t="s">
        <v>63</v>
      </c>
      <c r="C17" s="105">
        <v>11500</v>
      </c>
      <c r="D17" s="106">
        <v>135</v>
      </c>
      <c r="E17" s="107">
        <f>D17*C17/12000</f>
        <v>129.375</v>
      </c>
    </row>
    <row r="18" spans="1:14" ht="16.5" thickBot="1" x14ac:dyDescent="0.3">
      <c r="A18" s="290" t="s">
        <v>64</v>
      </c>
      <c r="B18" s="108"/>
      <c r="C18" s="109"/>
      <c r="D18" s="110"/>
      <c r="E18" s="110">
        <f>SUM(E14:E17)</f>
        <v>537.875</v>
      </c>
    </row>
    <row r="19" spans="1:14" ht="16.5" thickTop="1" x14ac:dyDescent="0.25">
      <c r="D19" s="102"/>
    </row>
    <row r="20" spans="1:14" s="132" customFormat="1" ht="21.75" thickBot="1" x14ac:dyDescent="0.4">
      <c r="A20" s="78" t="str">
        <f>"EXPERIENCE -- "&amp;ExperYear-1</f>
        <v>EXPERIENCE -- 2023</v>
      </c>
      <c r="B20" s="133"/>
      <c r="G20" s="133" t="str">
        <f>"EXPERIENCE TREND -- "&amp;RIGHT(A11,4)&amp;" to "&amp;RIGHT(A20,4)</f>
        <v>EXPERIENCE TREND -- 2022 to 2023</v>
      </c>
      <c r="I20" s="78"/>
    </row>
    <row r="21" spans="1:14" x14ac:dyDescent="0.25">
      <c r="A21" s="77"/>
      <c r="B21" s="103"/>
      <c r="G21" s="103"/>
      <c r="H21" s="111"/>
      <c r="I21" s="112"/>
      <c r="J21" s="113"/>
      <c r="K21" s="114" t="s">
        <v>65</v>
      </c>
      <c r="L21" s="115"/>
      <c r="M21" s="116"/>
      <c r="N21" s="117"/>
    </row>
    <row r="22" spans="1:14" ht="31.5" x14ac:dyDescent="0.25">
      <c r="A22" s="299" t="s">
        <v>52</v>
      </c>
      <c r="B22" s="300" t="s">
        <v>53</v>
      </c>
      <c r="C22" s="300" t="s">
        <v>54</v>
      </c>
      <c r="D22" s="300" t="s">
        <v>55</v>
      </c>
      <c r="E22" s="300" t="s">
        <v>56</v>
      </c>
      <c r="F22" s="301"/>
      <c r="G22" s="299" t="s">
        <v>66</v>
      </c>
      <c r="H22" s="302" t="s">
        <v>67</v>
      </c>
      <c r="I22" s="300" t="s">
        <v>68</v>
      </c>
      <c r="J22" s="303" t="s">
        <v>55</v>
      </c>
      <c r="K22" s="304" t="s">
        <v>69</v>
      </c>
      <c r="L22" s="300" t="s">
        <v>70</v>
      </c>
      <c r="M22" s="300" t="s">
        <v>55</v>
      </c>
      <c r="N22" s="303" t="s">
        <v>71</v>
      </c>
    </row>
    <row r="23" spans="1:14" x14ac:dyDescent="0.25">
      <c r="A23" s="289" t="s">
        <v>57</v>
      </c>
      <c r="B23" s="156" t="s">
        <v>58</v>
      </c>
      <c r="C23" s="105">
        <v>173.25</v>
      </c>
      <c r="D23" s="106">
        <v>6300</v>
      </c>
      <c r="E23" s="107">
        <f>D23*C23/12000</f>
        <v>90.956249999999997</v>
      </c>
      <c r="G23" s="291" t="s">
        <v>57</v>
      </c>
      <c r="H23" s="121">
        <f>E23/E14-1</f>
        <v>0.10250000000000004</v>
      </c>
      <c r="I23" s="122">
        <f t="shared" ref="I23:J26" si="0">C23/C14-1</f>
        <v>5.0000000000000044E-2</v>
      </c>
      <c r="J23" s="123">
        <f t="shared" si="0"/>
        <v>5.0000000000000044E-2</v>
      </c>
      <c r="K23" s="139">
        <v>0</v>
      </c>
      <c r="L23" s="140">
        <v>5.0000000000000044E-2</v>
      </c>
      <c r="M23" s="122" cm="1">
        <f t="array" ref="M23">PRODUCT(1+K23:L23)-1</f>
        <v>5.0000000000000044E-2</v>
      </c>
      <c r="N23" s="123" t="b">
        <f>(1+M23)=(1+J23)</f>
        <v>1</v>
      </c>
    </row>
    <row r="24" spans="1:14" x14ac:dyDescent="0.25">
      <c r="A24" s="289" t="s">
        <v>59</v>
      </c>
      <c r="B24" s="156" t="s">
        <v>60</v>
      </c>
      <c r="C24" s="105">
        <v>4400</v>
      </c>
      <c r="D24" s="106">
        <v>472.5</v>
      </c>
      <c r="E24" s="107">
        <f>D24*C24/12000</f>
        <v>173.25</v>
      </c>
      <c r="G24" s="291" t="s">
        <v>59</v>
      </c>
      <c r="H24" s="121">
        <f>E24/E15-1</f>
        <v>0.15500000000000003</v>
      </c>
      <c r="I24" s="122">
        <f t="shared" si="0"/>
        <v>0.10000000000000009</v>
      </c>
      <c r="J24" s="123">
        <f t="shared" si="0"/>
        <v>5.0000000000000044E-2</v>
      </c>
      <c r="K24" s="139">
        <v>0</v>
      </c>
      <c r="L24" s="140">
        <v>5.0000000000000044E-2</v>
      </c>
      <c r="M24" s="122" cm="1">
        <f t="array" ref="M24">PRODUCT(1+K24:L24)-1</f>
        <v>5.0000000000000044E-2</v>
      </c>
      <c r="N24" s="123" t="b">
        <f t="shared" ref="N24:N26" si="1">(1+M24)=(1+J24)</f>
        <v>1</v>
      </c>
    </row>
    <row r="25" spans="1:14" x14ac:dyDescent="0.25">
      <c r="A25" s="289" t="s">
        <v>61</v>
      </c>
      <c r="B25" s="156" t="s">
        <v>60</v>
      </c>
      <c r="C25" s="105">
        <v>7260.0000000000009</v>
      </c>
      <c r="D25" s="106">
        <v>336</v>
      </c>
      <c r="E25" s="107">
        <f>D25*C25/12000</f>
        <v>203.28000000000003</v>
      </c>
      <c r="G25" s="291" t="s">
        <v>61</v>
      </c>
      <c r="H25" s="121">
        <f>E25/E16-1</f>
        <v>0.15500000000000025</v>
      </c>
      <c r="I25" s="122">
        <f t="shared" si="0"/>
        <v>0.10000000000000009</v>
      </c>
      <c r="J25" s="123">
        <f t="shared" si="0"/>
        <v>5.0000000000000044E-2</v>
      </c>
      <c r="K25" s="139">
        <v>0</v>
      </c>
      <c r="L25" s="140">
        <v>5.0000000000000044E-2</v>
      </c>
      <c r="M25" s="122" cm="1">
        <f t="array" ref="M25">PRODUCT(1+K25:L25)-1</f>
        <v>5.0000000000000044E-2</v>
      </c>
      <c r="N25" s="123" t="b">
        <f t="shared" si="1"/>
        <v>1</v>
      </c>
    </row>
    <row r="26" spans="1:14" x14ac:dyDescent="0.25">
      <c r="A26" s="289" t="s">
        <v>62</v>
      </c>
      <c r="B26" s="156" t="s">
        <v>63</v>
      </c>
      <c r="C26" s="105">
        <v>13224.999999999998</v>
      </c>
      <c r="D26" s="106">
        <v>141.75</v>
      </c>
      <c r="E26" s="107">
        <f>D26*C26/12000</f>
        <v>156.22031249999998</v>
      </c>
      <c r="G26" s="291" t="s">
        <v>62</v>
      </c>
      <c r="H26" s="121">
        <f>E26/E17-1</f>
        <v>0.2074999999999998</v>
      </c>
      <c r="I26" s="122">
        <f t="shared" si="0"/>
        <v>0.14999999999999991</v>
      </c>
      <c r="J26" s="123">
        <f t="shared" si="0"/>
        <v>5.0000000000000044E-2</v>
      </c>
      <c r="K26" s="139">
        <v>0</v>
      </c>
      <c r="L26" s="140">
        <v>5.0000000000000044E-2</v>
      </c>
      <c r="M26" s="122" cm="1">
        <f t="array" ref="M26">PRODUCT(1+K26:L26)-1</f>
        <v>5.0000000000000044E-2</v>
      </c>
      <c r="N26" s="123" t="b">
        <f t="shared" si="1"/>
        <v>1</v>
      </c>
    </row>
    <row r="27" spans="1:14" ht="16.5" thickBot="1" x14ac:dyDescent="0.3">
      <c r="A27" s="290" t="s">
        <v>64</v>
      </c>
      <c r="B27" s="108"/>
      <c r="C27" s="109"/>
      <c r="D27" s="110"/>
      <c r="E27" s="110">
        <f>SUM(E23:E26)</f>
        <v>623.70656250000002</v>
      </c>
      <c r="G27" s="292" t="s">
        <v>64</v>
      </c>
      <c r="H27" s="124">
        <f>E27/E18-1</f>
        <v>0.15957529630490352</v>
      </c>
      <c r="I27" s="125"/>
      <c r="J27" s="126"/>
      <c r="K27" s="127"/>
      <c r="L27" s="125"/>
      <c r="M27" s="128"/>
      <c r="N27" s="126"/>
    </row>
    <row r="28" spans="1:14" ht="16.5" thickTop="1" x14ac:dyDescent="0.25"/>
    <row r="29" spans="1:14" s="132" customFormat="1" ht="21.75" thickBot="1" x14ac:dyDescent="0.4">
      <c r="A29" s="78" t="str">
        <f>"EXPERIENCE -- "&amp;ExperYear</f>
        <v>EXPERIENCE -- 2024</v>
      </c>
      <c r="B29" s="133"/>
      <c r="G29" s="133" t="str">
        <f>"EXPERIENCE TREND -- "&amp;RIGHT(A20,4)&amp;" to "&amp;RIGHT(A29,4)</f>
        <v>EXPERIENCE TREND -- 2023 to 2024</v>
      </c>
      <c r="I29" s="78"/>
    </row>
    <row r="30" spans="1:14" x14ac:dyDescent="0.25">
      <c r="A30" s="77"/>
      <c r="B30" s="103"/>
      <c r="G30" s="103"/>
      <c r="H30" s="111"/>
      <c r="I30" s="112"/>
      <c r="J30" s="113"/>
      <c r="K30" s="114" t="s">
        <v>65</v>
      </c>
      <c r="L30" s="115"/>
      <c r="M30" s="116"/>
      <c r="N30" s="117"/>
    </row>
    <row r="31" spans="1:14" ht="31.5" x14ac:dyDescent="0.25">
      <c r="A31" s="299" t="s">
        <v>52</v>
      </c>
      <c r="B31" s="300" t="s">
        <v>53</v>
      </c>
      <c r="C31" s="300" t="s">
        <v>54</v>
      </c>
      <c r="D31" s="300" t="s">
        <v>55</v>
      </c>
      <c r="E31" s="300" t="s">
        <v>56</v>
      </c>
      <c r="F31" s="301"/>
      <c r="G31" s="299" t="s">
        <v>66</v>
      </c>
      <c r="H31" s="302" t="s">
        <v>67</v>
      </c>
      <c r="I31" s="300" t="s">
        <v>68</v>
      </c>
      <c r="J31" s="303" t="s">
        <v>55</v>
      </c>
      <c r="K31" s="304" t="s">
        <v>69</v>
      </c>
      <c r="L31" s="300" t="s">
        <v>70</v>
      </c>
      <c r="M31" s="300" t="s">
        <v>55</v>
      </c>
      <c r="N31" s="303" t="s">
        <v>71</v>
      </c>
    </row>
    <row r="32" spans="1:14" x14ac:dyDescent="0.25">
      <c r="A32" s="289" t="s">
        <v>57</v>
      </c>
      <c r="B32" s="156" t="s">
        <v>58</v>
      </c>
      <c r="C32" s="105">
        <v>181.91249999999999</v>
      </c>
      <c r="D32" s="106">
        <v>6747.3</v>
      </c>
      <c r="E32" s="107">
        <f>D32*C32/12000</f>
        <v>102.2848509375</v>
      </c>
      <c r="G32" s="289" t="s">
        <v>57</v>
      </c>
      <c r="H32" s="121">
        <f>E32/E23-1</f>
        <v>0.12454999999999994</v>
      </c>
      <c r="I32" s="122">
        <f t="shared" ref="I32:J35" si="2">C32/C23-1</f>
        <v>5.0000000000000044E-2</v>
      </c>
      <c r="J32" s="123">
        <f t="shared" si="2"/>
        <v>7.0999999999999952E-2</v>
      </c>
      <c r="K32" s="139">
        <v>2.0000000000000018E-2</v>
      </c>
      <c r="L32" s="140">
        <v>5.0000000000000044E-2</v>
      </c>
      <c r="M32" s="122" cm="1">
        <f t="array" ref="M32">PRODUCT(1+K32:L32)-1</f>
        <v>7.1000000000000174E-2</v>
      </c>
      <c r="N32" s="123" t="b">
        <f>(1+M32)=(1+J32)</f>
        <v>1</v>
      </c>
    </row>
    <row r="33" spans="1:14" x14ac:dyDescent="0.25">
      <c r="A33" s="289" t="s">
        <v>59</v>
      </c>
      <c r="B33" s="156" t="s">
        <v>60</v>
      </c>
      <c r="C33" s="105">
        <v>4840</v>
      </c>
      <c r="D33" s="106">
        <v>525.79800000000012</v>
      </c>
      <c r="E33" s="107">
        <f>D33*C33/12000</f>
        <v>212.07186000000007</v>
      </c>
      <c r="G33" s="289" t="s">
        <v>59</v>
      </c>
      <c r="H33" s="121">
        <f>E33/E24-1</f>
        <v>0.2240800000000005</v>
      </c>
      <c r="I33" s="122">
        <f t="shared" si="2"/>
        <v>0.10000000000000009</v>
      </c>
      <c r="J33" s="123">
        <f t="shared" si="2"/>
        <v>0.11280000000000023</v>
      </c>
      <c r="K33" s="139">
        <v>4.0000000000000036E-2</v>
      </c>
      <c r="L33" s="140">
        <v>7.0000000000000062E-2</v>
      </c>
      <c r="M33" s="122" cm="1">
        <f t="array" ref="M33">PRODUCT(1+K33:L33)-1</f>
        <v>0.11280000000000001</v>
      </c>
      <c r="N33" s="123" t="b">
        <f t="shared" ref="N33:N35" si="3">(1+M33)=(1+J33)</f>
        <v>1</v>
      </c>
    </row>
    <row r="34" spans="1:14" x14ac:dyDescent="0.25">
      <c r="A34" s="289" t="s">
        <v>61</v>
      </c>
      <c r="B34" s="156" t="s">
        <v>60</v>
      </c>
      <c r="C34" s="105">
        <v>7920.0000000000009</v>
      </c>
      <c r="D34" s="106">
        <v>369.77203200000008</v>
      </c>
      <c r="E34" s="107">
        <f>D34*C34/12000</f>
        <v>244.04954112000007</v>
      </c>
      <c r="G34" s="289" t="s">
        <v>61</v>
      </c>
      <c r="H34" s="121">
        <f>E34/E25-1</f>
        <v>0.20055854545454554</v>
      </c>
      <c r="I34" s="122">
        <f t="shared" si="2"/>
        <v>9.0909090909090828E-2</v>
      </c>
      <c r="J34" s="123">
        <f t="shared" si="2"/>
        <v>0.10051200000000016</v>
      </c>
      <c r="K34" s="139">
        <v>1.15E-2</v>
      </c>
      <c r="L34" s="140">
        <v>8.7999999999999995E-2</v>
      </c>
      <c r="M34" s="122" cm="1">
        <f t="array" ref="M34">PRODUCT(1+K34:L34)-1</f>
        <v>0.10051200000000016</v>
      </c>
      <c r="N34" s="123" t="b">
        <f t="shared" si="3"/>
        <v>1</v>
      </c>
    </row>
    <row r="35" spans="1:14" x14ac:dyDescent="0.25">
      <c r="A35" s="289" t="s">
        <v>62</v>
      </c>
      <c r="B35" s="156" t="s">
        <v>63</v>
      </c>
      <c r="C35" s="105">
        <v>15208.749999999996</v>
      </c>
      <c r="D35" s="106">
        <v>160.74450000000002</v>
      </c>
      <c r="E35" s="107">
        <f>D35*C35/12000</f>
        <v>203.72690953124999</v>
      </c>
      <c r="G35" s="289" t="s">
        <v>62</v>
      </c>
      <c r="H35" s="121">
        <f>E35/E26-1</f>
        <v>0.30410000000000004</v>
      </c>
      <c r="I35" s="122">
        <f t="shared" si="2"/>
        <v>0.14999999999999991</v>
      </c>
      <c r="J35" s="123">
        <f t="shared" si="2"/>
        <v>0.13400000000000012</v>
      </c>
      <c r="K35" s="139">
        <v>5.0000000000000044E-2</v>
      </c>
      <c r="L35" s="140">
        <v>8.0000000000000071E-2</v>
      </c>
      <c r="M35" s="122" cm="1">
        <f t="array" ref="M35">PRODUCT(1+K35:L35)-1</f>
        <v>0.13400000000000012</v>
      </c>
      <c r="N35" s="123" t="b">
        <f t="shared" si="3"/>
        <v>1</v>
      </c>
    </row>
    <row r="36" spans="1:14" ht="16.5" thickBot="1" x14ac:dyDescent="0.3">
      <c r="A36" s="290" t="s">
        <v>64</v>
      </c>
      <c r="B36" s="129"/>
      <c r="C36" s="108"/>
      <c r="D36" s="110"/>
      <c r="E36" s="110">
        <f>SUM(E32:E35)</f>
        <v>762.13316158875</v>
      </c>
      <c r="G36" s="292" t="s">
        <v>64</v>
      </c>
      <c r="H36" s="124">
        <f>E36/E27-1</f>
        <v>0.22194186723624543</v>
      </c>
      <c r="I36" s="125"/>
      <c r="J36" s="126"/>
      <c r="K36" s="127"/>
      <c r="L36" s="125"/>
      <c r="M36" s="128"/>
      <c r="N36" s="126"/>
    </row>
    <row r="37" spans="1:14" ht="16.5" thickTop="1" x14ac:dyDescent="0.25"/>
    <row r="38" spans="1:14" s="132" customFormat="1" ht="21.75" thickBot="1" x14ac:dyDescent="0.4">
      <c r="A38" s="78" t="str">
        <f>"PROJECTED (i.e., EXPECTED) -- "&amp;PlanYear</f>
        <v>PROJECTED (i.e., EXPECTED) -- 2026</v>
      </c>
      <c r="B38" s="133"/>
      <c r="G38" s="133" t="str">
        <f>"ANNUALIZED PROJECTED TREND -- "&amp;ExperYear&amp;" to "&amp;PlanYear</f>
        <v>ANNUALIZED PROJECTED TREND -- 2024 to 2026</v>
      </c>
      <c r="I38" s="78"/>
    </row>
    <row r="39" spans="1:14" x14ac:dyDescent="0.25">
      <c r="A39" s="77"/>
      <c r="B39" s="103"/>
      <c r="G39" s="103"/>
      <c r="H39" s="111"/>
      <c r="I39" s="112"/>
      <c r="J39" s="113"/>
      <c r="K39" s="114" t="s">
        <v>65</v>
      </c>
      <c r="L39" s="115"/>
      <c r="M39" s="116"/>
      <c r="N39" s="117"/>
    </row>
    <row r="40" spans="1:14" ht="31.5" x14ac:dyDescent="0.25">
      <c r="A40" s="104" t="s">
        <v>52</v>
      </c>
      <c r="B40" s="104" t="s">
        <v>53</v>
      </c>
      <c r="C40" s="104" t="s">
        <v>54</v>
      </c>
      <c r="D40" s="104" t="s">
        <v>55</v>
      </c>
      <c r="E40" s="104" t="s">
        <v>56</v>
      </c>
      <c r="F40" s="305"/>
      <c r="G40" s="104" t="s">
        <v>66</v>
      </c>
      <c r="H40" s="118" t="s">
        <v>67</v>
      </c>
      <c r="I40" s="104" t="s">
        <v>68</v>
      </c>
      <c r="J40" s="119" t="s">
        <v>55</v>
      </c>
      <c r="K40" s="120" t="s">
        <v>69</v>
      </c>
      <c r="L40" s="104" t="s">
        <v>70</v>
      </c>
      <c r="M40" s="104" t="s">
        <v>55</v>
      </c>
      <c r="N40" s="119" t="s">
        <v>71</v>
      </c>
    </row>
    <row r="41" spans="1:14" x14ac:dyDescent="0.25">
      <c r="A41" s="289" t="s">
        <v>57</v>
      </c>
      <c r="B41" s="156" t="s">
        <v>58</v>
      </c>
      <c r="C41" s="105">
        <v>200</v>
      </c>
      <c r="D41" s="106">
        <v>7293.0375000000004</v>
      </c>
      <c r="E41" s="107">
        <f>D41*C41/12000</f>
        <v>121.550625</v>
      </c>
      <c r="G41" s="289" t="s">
        <v>57</v>
      </c>
      <c r="H41" s="121">
        <f>(E41/E32)^0.5-1</f>
        <v>9.0116566946214283E-2</v>
      </c>
      <c r="I41" s="122">
        <f t="shared" ref="I41:J44" si="4">(C41/C32)^0.5-1</f>
        <v>4.8536919167962544E-2</v>
      </c>
      <c r="J41" s="123">
        <f t="shared" si="4"/>
        <v>3.9654920125508086E-2</v>
      </c>
      <c r="K41" s="139">
        <v>2.4695076595959931E-2</v>
      </c>
      <c r="L41" s="140">
        <v>1.4599312391784691E-2</v>
      </c>
      <c r="M41" s="122" cm="1">
        <f t="array" ref="M41">PRODUCT(1+K41:L41)-1</f>
        <v>3.9654920125508086E-2</v>
      </c>
      <c r="N41" s="123" t="b">
        <f>(1+M41)=(1+J41)</f>
        <v>1</v>
      </c>
    </row>
    <row r="42" spans="1:14" x14ac:dyDescent="0.25">
      <c r="A42" s="289" t="s">
        <v>59</v>
      </c>
      <c r="B42" s="156" t="s">
        <v>60</v>
      </c>
      <c r="C42" s="105">
        <v>5324</v>
      </c>
      <c r="D42" s="106">
        <v>557.39643750000016</v>
      </c>
      <c r="E42" s="107">
        <f>D42*C42/12000</f>
        <v>247.29821943750008</v>
      </c>
      <c r="G42" s="289" t="s">
        <v>59</v>
      </c>
      <c r="H42" s="121">
        <f>(E42/E33)^0.5-1</f>
        <v>7.9863773459768028E-2</v>
      </c>
      <c r="I42" s="122">
        <f t="shared" si="4"/>
        <v>4.8808848170151631E-2</v>
      </c>
      <c r="J42" s="123">
        <f t="shared" si="4"/>
        <v>2.9609709475466151E-2</v>
      </c>
      <c r="K42" s="139">
        <v>2.4695076595959931E-2</v>
      </c>
      <c r="L42" s="140">
        <v>4.796190585625526E-3</v>
      </c>
      <c r="M42" s="122" cm="1">
        <f t="array" ref="M42">PRODUCT(1+K42:L42)-1</f>
        <v>2.9609709475466373E-2</v>
      </c>
      <c r="N42" s="123" t="b">
        <f t="shared" ref="N42:N44" si="5">(1+M42)=(1+J42)</f>
        <v>1</v>
      </c>
    </row>
    <row r="43" spans="1:14" x14ac:dyDescent="0.25">
      <c r="A43" s="289" t="s">
        <v>61</v>
      </c>
      <c r="B43" s="156" t="s">
        <v>60</v>
      </c>
      <c r="C43" s="105">
        <v>9020</v>
      </c>
      <c r="D43" s="106">
        <v>361.36526485248004</v>
      </c>
      <c r="E43" s="107">
        <f>D43*C43/12000</f>
        <v>271.62622408078084</v>
      </c>
      <c r="G43" s="289" t="s">
        <v>61</v>
      </c>
      <c r="H43" s="121">
        <f>(E43/E34)^0.5-1</f>
        <v>5.4986374319592857E-2</v>
      </c>
      <c r="I43" s="122">
        <f t="shared" si="4"/>
        <v>6.7187372905474829E-2</v>
      </c>
      <c r="J43" s="123">
        <f t="shared" si="4"/>
        <v>-1.1432855087728511E-2</v>
      </c>
      <c r="K43" s="139">
        <v>1.4248490262618096E-2</v>
      </c>
      <c r="L43" s="140">
        <v>-2.5320565519103666E-2</v>
      </c>
      <c r="M43" s="122" cm="1">
        <f t="array" ref="M43">PRODUCT(1+K43:L43)-1</f>
        <v>-1.1432855087728511E-2</v>
      </c>
      <c r="N43" s="123" t="b">
        <f t="shared" si="5"/>
        <v>1</v>
      </c>
    </row>
    <row r="44" spans="1:14" x14ac:dyDescent="0.25">
      <c r="A44" s="289" t="s">
        <v>62</v>
      </c>
      <c r="B44" s="156" t="s">
        <v>63</v>
      </c>
      <c r="C44" s="105">
        <v>18251</v>
      </c>
      <c r="D44" s="106">
        <v>184.85617499999998</v>
      </c>
      <c r="E44" s="107">
        <f>D44*C44/12000</f>
        <v>281.15083749374998</v>
      </c>
      <c r="G44" s="289" t="s">
        <v>62</v>
      </c>
      <c r="H44" s="121">
        <f>(E44/E35)^0.5-1</f>
        <v>0.17475010414273418</v>
      </c>
      <c r="I44" s="122">
        <f t="shared" si="4"/>
        <v>9.5460120593909181E-2</v>
      </c>
      <c r="J44" s="123">
        <f t="shared" si="4"/>
        <v>7.2380529476360644E-2</v>
      </c>
      <c r="K44" s="139">
        <v>2.4695076595959931E-2</v>
      </c>
      <c r="L44" s="140">
        <v>4.6536236944567211E-2</v>
      </c>
      <c r="M44" s="122" cm="1">
        <f t="array" ref="M44">PRODUCT(1+K44:L44)-1</f>
        <v>7.2380529476360866E-2</v>
      </c>
      <c r="N44" s="123" t="b">
        <f t="shared" si="5"/>
        <v>1</v>
      </c>
    </row>
    <row r="45" spans="1:14" ht="16.5" thickBot="1" x14ac:dyDescent="0.3">
      <c r="A45" s="290" t="s">
        <v>64</v>
      </c>
      <c r="B45" s="129"/>
      <c r="C45" s="108"/>
      <c r="D45" s="110"/>
      <c r="E45" s="110">
        <f>SUM(E41:E44)</f>
        <v>921.62590601203101</v>
      </c>
      <c r="G45" s="292" t="s">
        <v>64</v>
      </c>
      <c r="H45" s="124">
        <f>(E45/E36)^0.5-1</f>
        <v>9.9668810497327343E-2</v>
      </c>
      <c r="I45" s="125"/>
      <c r="J45" s="126"/>
      <c r="K45" s="127"/>
      <c r="L45" s="125"/>
      <c r="M45" s="128"/>
      <c r="N45" s="126"/>
    </row>
    <row r="46" spans="1:14" ht="16.5" thickTop="1" x14ac:dyDescent="0.25"/>
    <row r="47" spans="1:14" x14ac:dyDescent="0.25">
      <c r="I47" s="102"/>
      <c r="N47" s="130"/>
    </row>
    <row r="48" spans="1:14" s="132" customFormat="1" ht="21.75" thickBot="1" x14ac:dyDescent="0.4">
      <c r="A48" s="131" t="s">
        <v>49</v>
      </c>
      <c r="B48" s="131"/>
      <c r="C48" s="131"/>
    </row>
    <row r="49" spans="1:14" ht="16.5" thickTop="1" x14ac:dyDescent="0.25">
      <c r="A49" s="600"/>
      <c r="B49" s="600"/>
      <c r="C49" s="600"/>
      <c r="D49" s="600"/>
      <c r="E49" s="600"/>
      <c r="F49" s="600"/>
      <c r="G49" s="600"/>
      <c r="H49" s="600"/>
      <c r="I49" s="600"/>
      <c r="J49" s="600"/>
      <c r="K49" s="600"/>
      <c r="L49" s="600"/>
      <c r="M49" s="600"/>
      <c r="N49" s="600"/>
    </row>
    <row r="50" spans="1:14" x14ac:dyDescent="0.25">
      <c r="A50" s="600"/>
      <c r="B50" s="600"/>
      <c r="C50" s="600"/>
      <c r="D50" s="600"/>
      <c r="E50" s="600"/>
      <c r="F50" s="600"/>
      <c r="G50" s="600"/>
      <c r="H50" s="600"/>
      <c r="I50" s="600"/>
      <c r="J50" s="600"/>
      <c r="K50" s="600"/>
      <c r="L50" s="600"/>
      <c r="M50" s="600"/>
      <c r="N50" s="600"/>
    </row>
    <row r="51" spans="1:14" x14ac:dyDescent="0.25">
      <c r="A51" s="600"/>
      <c r="B51" s="600"/>
      <c r="C51" s="600"/>
      <c r="D51" s="600"/>
      <c r="E51" s="600"/>
      <c r="F51" s="600"/>
      <c r="G51" s="600"/>
      <c r="H51" s="600"/>
      <c r="I51" s="600"/>
      <c r="J51" s="600"/>
      <c r="K51" s="600"/>
      <c r="L51" s="600"/>
      <c r="M51" s="600"/>
      <c r="N51" s="600"/>
    </row>
    <row r="52" spans="1:14" x14ac:dyDescent="0.25">
      <c r="A52" s="600"/>
      <c r="B52" s="600"/>
      <c r="C52" s="600"/>
      <c r="D52" s="600"/>
      <c r="E52" s="600"/>
      <c r="F52" s="600"/>
      <c r="G52" s="600"/>
      <c r="H52" s="600"/>
      <c r="I52" s="600"/>
      <c r="J52" s="600"/>
      <c r="K52" s="600"/>
      <c r="L52" s="600"/>
      <c r="M52" s="600"/>
      <c r="N52" s="600"/>
    </row>
    <row r="53" spans="1:14" x14ac:dyDescent="0.25">
      <c r="A53" s="600"/>
      <c r="B53" s="600"/>
      <c r="C53" s="600"/>
      <c r="D53" s="600"/>
      <c r="E53" s="600"/>
      <c r="F53" s="600"/>
      <c r="G53" s="600"/>
      <c r="H53" s="600"/>
      <c r="I53" s="600"/>
      <c r="J53" s="600"/>
      <c r="K53" s="600"/>
      <c r="L53" s="600"/>
      <c r="M53" s="600"/>
      <c r="N53" s="600"/>
    </row>
    <row r="54" spans="1:14" x14ac:dyDescent="0.25">
      <c r="A54" s="600"/>
      <c r="B54" s="600"/>
      <c r="C54" s="600"/>
      <c r="D54" s="600"/>
      <c r="E54" s="600"/>
      <c r="F54" s="600"/>
      <c r="G54" s="600"/>
      <c r="H54" s="600"/>
      <c r="I54" s="600"/>
      <c r="J54" s="600"/>
      <c r="K54" s="600"/>
      <c r="L54" s="600"/>
      <c r="M54" s="600"/>
      <c r="N54" s="600"/>
    </row>
    <row r="55" spans="1:14" x14ac:dyDescent="0.25">
      <c r="A55" s="366"/>
      <c r="B55" s="366"/>
      <c r="C55" s="366"/>
      <c r="D55" s="366"/>
      <c r="E55" s="366"/>
      <c r="F55" s="366"/>
      <c r="G55" s="366"/>
      <c r="H55" s="366"/>
      <c r="I55" s="366"/>
      <c r="J55" s="366"/>
      <c r="K55" s="366"/>
      <c r="L55" s="366"/>
      <c r="M55" s="366"/>
      <c r="N55" s="366"/>
    </row>
    <row r="56" spans="1:14" x14ac:dyDescent="0.25">
      <c r="A56" s="366"/>
      <c r="B56" s="366"/>
      <c r="C56" s="366"/>
      <c r="D56" s="366"/>
      <c r="E56" s="366"/>
      <c r="F56" s="366"/>
      <c r="G56" s="366"/>
      <c r="H56" s="366"/>
      <c r="I56" s="366"/>
      <c r="J56" s="366"/>
      <c r="K56" s="366"/>
      <c r="L56" s="366"/>
      <c r="M56" s="366"/>
      <c r="N56" s="366"/>
    </row>
    <row r="57" spans="1:14" x14ac:dyDescent="0.25">
      <c r="A57" s="366"/>
      <c r="B57" s="366"/>
      <c r="C57" s="366"/>
      <c r="D57" s="366"/>
      <c r="E57" s="366"/>
      <c r="F57" s="366"/>
      <c r="G57" s="366"/>
      <c r="H57" s="366"/>
      <c r="I57" s="366"/>
      <c r="J57" s="366"/>
      <c r="K57" s="366"/>
      <c r="L57" s="366"/>
      <c r="M57" s="366"/>
      <c r="N57" s="366"/>
    </row>
    <row r="58" spans="1:14" x14ac:dyDescent="0.25">
      <c r="A58" s="366"/>
      <c r="B58" s="366"/>
      <c r="C58" s="366"/>
      <c r="D58" s="366"/>
      <c r="E58" s="366"/>
      <c r="F58" s="366"/>
      <c r="G58" s="366"/>
      <c r="H58" s="366"/>
      <c r="I58" s="366"/>
      <c r="J58" s="366"/>
      <c r="K58" s="366"/>
      <c r="L58" s="366"/>
      <c r="M58" s="366"/>
      <c r="N58" s="366"/>
    </row>
  </sheetData>
  <mergeCells count="10">
    <mergeCell ref="C4:L4"/>
    <mergeCell ref="C5:L5"/>
    <mergeCell ref="C6:L6"/>
    <mergeCell ref="C7:L7"/>
    <mergeCell ref="A49:N49"/>
    <mergeCell ref="A50:N50"/>
    <mergeCell ref="A51:N51"/>
    <mergeCell ref="A52:N52"/>
    <mergeCell ref="A53:N53"/>
    <mergeCell ref="A54:N54"/>
  </mergeCells>
  <conditionalFormatting sqref="N23:N26 N32:N35 N41:N44">
    <cfRule type="cellIs" dxfId="8" priority="1" operator="equal">
      <formula>FALSE</formula>
    </cfRule>
  </conditionalFormatting>
  <printOptions horizontalCentered="1"/>
  <pageMargins left="0.25" right="0.25" top="0.75" bottom="0.75" header="0.25" footer="0.25"/>
  <pageSetup scale="50" orientation="landscape" horizontalDpi="1200" verticalDpi="1200" r:id="rId1"/>
  <headerFooter>
    <oddFooter>&amp;L2026 IND &amp;&amp; SG ACA MEDICAL RATE FILINGS -- COMMON EXHIBITS&amp;R03/21/2025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801D6-3FA1-425B-83D8-D123915FB967}">
  <sheetPr codeName="Sheet4">
    <tabColor theme="0" tint="-0.499984740745262"/>
    <outlinePr summaryRight="0"/>
    <pageSetUpPr fitToPage="1"/>
  </sheetPr>
  <dimension ref="A1:O49"/>
  <sheetViews>
    <sheetView showGridLines="0" zoomScale="70" zoomScaleNormal="70" workbookViewId="0">
      <pane ySplit="3" topLeftCell="A4" activePane="bottomLeft" state="frozen"/>
      <selection pane="bottomLeft"/>
    </sheetView>
  </sheetViews>
  <sheetFormatPr defaultRowHeight="15" x14ac:dyDescent="0.25"/>
  <cols>
    <col min="1" max="1" width="45.42578125" bestFit="1" customWidth="1"/>
    <col min="2" max="2" width="15.85546875" bestFit="1" customWidth="1"/>
    <col min="3" max="3" width="17.7109375" bestFit="1" customWidth="1"/>
    <col min="4" max="4" width="12" bestFit="1" customWidth="1"/>
    <col min="5" max="5" width="19.28515625" bestFit="1" customWidth="1"/>
    <col min="6" max="6" width="13.140625" bestFit="1" customWidth="1"/>
    <col min="7" max="7" width="3.140625" customWidth="1"/>
    <col min="8" max="8" width="36.28515625" bestFit="1" customWidth="1"/>
    <col min="9" max="9" width="13.140625" bestFit="1" customWidth="1"/>
    <col min="10" max="10" width="13" bestFit="1" customWidth="1"/>
    <col min="11" max="11" width="12" bestFit="1" customWidth="1"/>
    <col min="12" max="12" width="15.85546875" bestFit="1" customWidth="1"/>
    <col min="13" max="13" width="19.28515625" bestFit="1" customWidth="1"/>
    <col min="14" max="15" width="19.28515625" customWidth="1"/>
  </cols>
  <sheetData>
    <row r="1" spans="1:15" ht="26.25" customHeight="1" x14ac:dyDescent="0.4">
      <c r="A1" s="76" t="s">
        <v>72</v>
      </c>
    </row>
    <row r="2" spans="1:15" ht="21" x14ac:dyDescent="0.35">
      <c r="A2" s="286" t="s">
        <v>73</v>
      </c>
    </row>
    <row r="3" spans="1:15" ht="15.75" x14ac:dyDescent="0.25">
      <c r="A3" s="287" t="s">
        <v>74</v>
      </c>
      <c r="B3" s="229"/>
      <c r="C3" s="229"/>
    </row>
    <row r="6" spans="1:15" ht="21.75" thickBot="1" x14ac:dyDescent="0.4">
      <c r="A6" s="131" t="s">
        <v>75</v>
      </c>
      <c r="B6" s="4"/>
      <c r="C6" s="4"/>
      <c r="D6" s="4"/>
      <c r="E6" s="4"/>
      <c r="F6" s="4"/>
    </row>
    <row r="7" spans="1:15" ht="15.75" thickTop="1" x14ac:dyDescent="0.25">
      <c r="A7" t="s">
        <v>76</v>
      </c>
    </row>
    <row r="8" spans="1:15" x14ac:dyDescent="0.25">
      <c r="A8" t="s">
        <v>77</v>
      </c>
    </row>
    <row r="10" spans="1:15" ht="21.75" thickBot="1" x14ac:dyDescent="0.4">
      <c r="A10" s="169" t="s">
        <v>78</v>
      </c>
      <c r="B10" s="5"/>
      <c r="C10" s="5"/>
      <c r="D10" s="5"/>
      <c r="E10" s="5"/>
      <c r="F10" s="5"/>
      <c r="H10" s="169" t="s">
        <v>79</v>
      </c>
      <c r="I10" s="5"/>
      <c r="J10" s="5"/>
      <c r="K10" s="5"/>
      <c r="L10" s="5"/>
      <c r="M10" s="5"/>
      <c r="N10" s="5"/>
      <c r="O10" s="5"/>
    </row>
    <row r="11" spans="1:15" ht="21.75" thickTop="1" x14ac:dyDescent="0.35">
      <c r="A11" s="78" t="s">
        <v>80</v>
      </c>
    </row>
    <row r="12" spans="1:15" x14ac:dyDescent="0.25">
      <c r="A12" s="67" t="s">
        <v>81</v>
      </c>
    </row>
    <row r="13" spans="1:15" ht="30" x14ac:dyDescent="0.25">
      <c r="A13" s="309" t="s">
        <v>82</v>
      </c>
      <c r="B13" s="310" t="s">
        <v>83</v>
      </c>
      <c r="C13" s="310" t="s">
        <v>84</v>
      </c>
      <c r="D13" s="311" t="s">
        <v>55</v>
      </c>
      <c r="E13" s="310" t="s">
        <v>85</v>
      </c>
      <c r="F13" s="310" t="s">
        <v>86</v>
      </c>
    </row>
    <row r="14" spans="1:15" x14ac:dyDescent="0.25">
      <c r="A14" s="293" t="s">
        <v>87</v>
      </c>
      <c r="B14" s="143">
        <v>26</v>
      </c>
      <c r="C14" s="64">
        <f>B14/B16</f>
        <v>0.78787878787878785</v>
      </c>
      <c r="D14" s="147">
        <f>E14</f>
        <v>50</v>
      </c>
      <c r="E14" s="145">
        <v>50</v>
      </c>
      <c r="F14" s="17">
        <f>D14*B14</f>
        <v>1300</v>
      </c>
    </row>
    <row r="15" spans="1:15" x14ac:dyDescent="0.25">
      <c r="A15" s="294" t="s">
        <v>88</v>
      </c>
      <c r="B15" s="144">
        <v>7</v>
      </c>
      <c r="C15" s="66">
        <f>1-C14</f>
        <v>0.21212121212121215</v>
      </c>
      <c r="D15" s="148">
        <f>E15</f>
        <v>61.79</v>
      </c>
      <c r="E15" s="146">
        <v>61.79</v>
      </c>
      <c r="F15" s="72">
        <f>D15*B15</f>
        <v>432.53</v>
      </c>
    </row>
    <row r="16" spans="1:15" x14ac:dyDescent="0.25">
      <c r="A16" s="295" t="s">
        <v>64</v>
      </c>
      <c r="B16" s="46">
        <f>SUM(B14:B15)</f>
        <v>33</v>
      </c>
      <c r="C16" s="65">
        <f>SUM(C14:C15)</f>
        <v>1</v>
      </c>
      <c r="D16" s="45">
        <f>SUMPRODUCT(D14:D15,C14:C15)</f>
        <v>52.50090909090909</v>
      </c>
      <c r="E16" s="45">
        <f>SUMPRODUCT(E14:E15,C14:C15)</f>
        <v>52.50090909090909</v>
      </c>
      <c r="F16" s="73">
        <f>SUM(F14:F15)</f>
        <v>1732.53</v>
      </c>
    </row>
    <row r="17" spans="1:15" ht="15" customHeight="1" x14ac:dyDescent="0.25">
      <c r="D17" s="6"/>
      <c r="E17" s="607" t="s">
        <v>89</v>
      </c>
    </row>
    <row r="18" spans="1:15" x14ac:dyDescent="0.25">
      <c r="E18" s="608"/>
    </row>
    <row r="20" spans="1:15" ht="21.75" thickBot="1" x14ac:dyDescent="0.4">
      <c r="A20" s="78" t="s">
        <v>90</v>
      </c>
      <c r="H20" s="78" t="str">
        <f>"EXPERIENCE TREND -- "&amp;RIGHT(A11,8)&amp;" to "&amp;RIGHT(A20,8)</f>
        <v>EXPERIENCE TREND -- PERIOD 1 to PERIOD 2</v>
      </c>
    </row>
    <row r="21" spans="1:15" x14ac:dyDescent="0.25">
      <c r="A21" s="67" t="s">
        <v>81</v>
      </c>
      <c r="H21" s="67" t="s">
        <v>81</v>
      </c>
      <c r="I21" s="61"/>
      <c r="J21" s="62"/>
      <c r="K21" s="63"/>
      <c r="L21" s="68" t="s">
        <v>65</v>
      </c>
      <c r="M21" s="69"/>
      <c r="N21" s="70"/>
      <c r="O21" s="71"/>
    </row>
    <row r="22" spans="1:15" ht="30" x14ac:dyDescent="0.25">
      <c r="A22" s="309" t="s">
        <v>82</v>
      </c>
      <c r="B22" s="310" t="s">
        <v>83</v>
      </c>
      <c r="C22" s="310" t="s">
        <v>84</v>
      </c>
      <c r="D22" s="311" t="s">
        <v>55</v>
      </c>
      <c r="E22" s="310" t="s">
        <v>85</v>
      </c>
      <c r="F22" s="310" t="s">
        <v>86</v>
      </c>
      <c r="G22" s="312"/>
      <c r="H22" s="313" t="s">
        <v>82</v>
      </c>
      <c r="I22" s="314" t="s">
        <v>86</v>
      </c>
      <c r="J22" s="310" t="s">
        <v>68</v>
      </c>
      <c r="K22" s="315" t="s">
        <v>55</v>
      </c>
      <c r="L22" s="314" t="s">
        <v>69</v>
      </c>
      <c r="M22" s="311" t="s">
        <v>70</v>
      </c>
      <c r="N22" s="311" t="s">
        <v>55</v>
      </c>
      <c r="O22" s="316" t="s">
        <v>71</v>
      </c>
    </row>
    <row r="23" spans="1:15" x14ac:dyDescent="0.25">
      <c r="A23" s="293" t="s">
        <v>87</v>
      </c>
      <c r="B23" s="143">
        <v>26</v>
      </c>
      <c r="C23" s="64">
        <f>B23/B25</f>
        <v>0.72222222222222221</v>
      </c>
      <c r="D23" s="147">
        <f>E23</f>
        <v>55</v>
      </c>
      <c r="E23" s="145">
        <v>55</v>
      </c>
      <c r="F23" s="17">
        <f>D23*B23</f>
        <v>1430</v>
      </c>
      <c r="H23" s="298" t="s">
        <v>87</v>
      </c>
      <c r="I23" s="157">
        <f>F23/F14-1</f>
        <v>0.10000000000000009</v>
      </c>
      <c r="J23" s="2">
        <f>B23/B14-1</f>
        <v>0</v>
      </c>
      <c r="K23" s="158">
        <f t="shared" ref="K23:K24" si="0">D23/D14-1</f>
        <v>0.10000000000000009</v>
      </c>
      <c r="L23" s="167"/>
      <c r="M23" s="3">
        <f>E23/E14-1</f>
        <v>0.10000000000000009</v>
      </c>
      <c r="N23" s="14"/>
      <c r="O23" s="164"/>
    </row>
    <row r="24" spans="1:15" x14ac:dyDescent="0.25">
      <c r="A24" s="294" t="s">
        <v>88</v>
      </c>
      <c r="B24" s="144">
        <v>10</v>
      </c>
      <c r="C24" s="66">
        <f>1-C23</f>
        <v>0.27777777777777779</v>
      </c>
      <c r="D24" s="148">
        <f>E24</f>
        <v>65</v>
      </c>
      <c r="E24" s="146">
        <v>65</v>
      </c>
      <c r="F24" s="72">
        <f>D24*B24</f>
        <v>650</v>
      </c>
      <c r="H24" s="298" t="s">
        <v>88</v>
      </c>
      <c r="I24" s="157">
        <f>F24/F15-1</f>
        <v>0.50278593392365867</v>
      </c>
      <c r="J24" s="2">
        <f>B24/B15-1</f>
        <v>0.4285714285714286</v>
      </c>
      <c r="K24" s="158">
        <f t="shared" si="0"/>
        <v>5.1950153746560979E-2</v>
      </c>
      <c r="L24" s="168"/>
      <c r="M24" s="3">
        <f>E24/E15-1</f>
        <v>5.1950153746560979E-2</v>
      </c>
      <c r="N24" s="14"/>
      <c r="O24" s="164"/>
    </row>
    <row r="25" spans="1:15" x14ac:dyDescent="0.25">
      <c r="A25" s="296" t="s">
        <v>91</v>
      </c>
      <c r="B25">
        <f>SUM(B23:B24)</f>
        <v>36</v>
      </c>
      <c r="C25" s="150">
        <f>SUM(C23:C24)</f>
        <v>1</v>
      </c>
      <c r="D25" s="15">
        <f>SUMPRODUCT(D23:D24,C23:C24)</f>
        <v>57.777777777777779</v>
      </c>
      <c r="E25" s="15">
        <f>SUMPRODUCT(E23:E24,C23:C24)</f>
        <v>57.777777777777779</v>
      </c>
      <c r="F25" s="18">
        <f>SUM(F23:F24)</f>
        <v>2080</v>
      </c>
      <c r="H25" s="298" t="s">
        <v>64</v>
      </c>
      <c r="I25" s="159">
        <f>F25/F16-1</f>
        <v>0.20055641172158634</v>
      </c>
      <c r="J25" s="155">
        <f>B25/B16-1</f>
        <v>9.0909090909090828E-2</v>
      </c>
      <c r="K25" s="160">
        <f>D25/D16-1</f>
        <v>0.10051004407812081</v>
      </c>
      <c r="L25" s="165">
        <f>(1+K25)/(1+M25)-1</f>
        <v>1.1494252873563315E-2</v>
      </c>
      <c r="M25" s="155">
        <f>E26/E16-1</f>
        <v>8.8004248122687478E-2</v>
      </c>
      <c r="N25" s="75" cm="1">
        <f t="array" ref="N25">PRODUCT(1+L25:M25)-1</f>
        <v>0.10051004407812081</v>
      </c>
      <c r="O25" s="74" t="b">
        <f>(1+N25)=(1+K25)</f>
        <v>1</v>
      </c>
    </row>
    <row r="26" spans="1:15" ht="15.75" thickBot="1" x14ac:dyDescent="0.3">
      <c r="A26" s="297" t="s">
        <v>92</v>
      </c>
      <c r="B26" s="151"/>
      <c r="C26" s="152"/>
      <c r="D26" s="153"/>
      <c r="E26" s="153">
        <f>SUMPRODUCT(E23:E24,C14:C15)</f>
        <v>57.121212121212118</v>
      </c>
      <c r="F26" s="154"/>
      <c r="H26" s="149"/>
      <c r="I26" s="161"/>
      <c r="J26" s="162"/>
      <c r="K26" s="163"/>
      <c r="L26" s="161"/>
      <c r="M26" s="162"/>
      <c r="N26" s="162"/>
      <c r="O26" s="166"/>
    </row>
    <row r="27" spans="1:15" ht="15" customHeight="1" x14ac:dyDescent="0.25">
      <c r="E27" s="607" t="s">
        <v>89</v>
      </c>
      <c r="M27" s="610" t="s">
        <v>93</v>
      </c>
      <c r="N27" s="610" t="s">
        <v>94</v>
      </c>
    </row>
    <row r="28" spans="1:15" x14ac:dyDescent="0.25">
      <c r="E28" s="608"/>
      <c r="M28" s="609"/>
      <c r="N28" s="609"/>
    </row>
    <row r="29" spans="1:15" x14ac:dyDescent="0.25">
      <c r="M29" s="609"/>
      <c r="N29" s="609"/>
    </row>
    <row r="30" spans="1:15" ht="21.75" thickBot="1" x14ac:dyDescent="0.4">
      <c r="A30" s="78" t="s">
        <v>95</v>
      </c>
      <c r="H30" s="78" t="str">
        <f>"EXPERIENCE TREND -- "&amp;RIGHT(A20,8)&amp;" to "&amp;RIGHT(A30,8)</f>
        <v>EXPERIENCE TREND -- PERIOD 2 to PERIOD 3</v>
      </c>
    </row>
    <row r="31" spans="1:15" x14ac:dyDescent="0.25">
      <c r="A31" s="67" t="s">
        <v>81</v>
      </c>
      <c r="H31" s="67" t="s">
        <v>81</v>
      </c>
      <c r="I31" s="61"/>
      <c r="J31" s="62"/>
      <c r="K31" s="63"/>
      <c r="L31" s="68" t="s">
        <v>65</v>
      </c>
      <c r="M31" s="69"/>
      <c r="N31" s="70"/>
      <c r="O31" s="71"/>
    </row>
    <row r="32" spans="1:15" ht="30" x14ac:dyDescent="0.25">
      <c r="A32" s="309" t="s">
        <v>82</v>
      </c>
      <c r="B32" s="310" t="s">
        <v>83</v>
      </c>
      <c r="C32" s="310" t="s">
        <v>84</v>
      </c>
      <c r="D32" s="311" t="s">
        <v>55</v>
      </c>
      <c r="E32" s="310" t="s">
        <v>85</v>
      </c>
      <c r="F32" s="310" t="s">
        <v>86</v>
      </c>
      <c r="G32" s="312"/>
      <c r="H32" s="309" t="s">
        <v>82</v>
      </c>
      <c r="I32" s="314" t="s">
        <v>86</v>
      </c>
      <c r="J32" s="310" t="s">
        <v>96</v>
      </c>
      <c r="K32" s="315" t="s">
        <v>55</v>
      </c>
      <c r="L32" s="314" t="s">
        <v>69</v>
      </c>
      <c r="M32" s="311" t="s">
        <v>70</v>
      </c>
      <c r="N32" s="311" t="s">
        <v>55</v>
      </c>
      <c r="O32" s="316" t="s">
        <v>71</v>
      </c>
    </row>
    <row r="33" spans="1:15" x14ac:dyDescent="0.25">
      <c r="A33" s="293" t="s">
        <v>87</v>
      </c>
      <c r="B33" s="143">
        <v>25</v>
      </c>
      <c r="C33" s="64">
        <f>B33/B35</f>
        <v>0.6097560975609756</v>
      </c>
      <c r="D33" s="147">
        <f>E33</f>
        <v>56</v>
      </c>
      <c r="E33" s="145">
        <v>56</v>
      </c>
      <c r="F33" s="17">
        <f>D33*B33</f>
        <v>1400</v>
      </c>
      <c r="H33" s="368" t="s">
        <v>87</v>
      </c>
      <c r="I33" s="157">
        <f>F33/F23-1</f>
        <v>-2.0979020979020935E-2</v>
      </c>
      <c r="J33" s="2">
        <f>B33/B23-1</f>
        <v>-3.8461538461538436E-2</v>
      </c>
      <c r="K33" s="158">
        <f>D33/D23-1</f>
        <v>1.8181818181818077E-2</v>
      </c>
      <c r="L33" s="167"/>
      <c r="M33" s="3">
        <f>E33/E23-1</f>
        <v>1.8181818181818077E-2</v>
      </c>
      <c r="N33" s="14"/>
      <c r="O33" s="164"/>
    </row>
    <row r="34" spans="1:15" x14ac:dyDescent="0.25">
      <c r="A34" s="294" t="s">
        <v>88</v>
      </c>
      <c r="B34" s="144">
        <v>16</v>
      </c>
      <c r="C34" s="66">
        <f>1-C33</f>
        <v>0.3902439024390244</v>
      </c>
      <c r="D34" s="148">
        <f>E34</f>
        <v>66</v>
      </c>
      <c r="E34" s="146">
        <v>66</v>
      </c>
      <c r="F34" s="72">
        <f>D34*B34</f>
        <v>1056</v>
      </c>
      <c r="H34" s="368" t="s">
        <v>88</v>
      </c>
      <c r="I34" s="157">
        <f>F34/F24-1</f>
        <v>0.62461538461538457</v>
      </c>
      <c r="J34" s="2">
        <f>B34/B24-1</f>
        <v>0.60000000000000009</v>
      </c>
      <c r="K34" s="158">
        <f>D34/D24-1</f>
        <v>1.538461538461533E-2</v>
      </c>
      <c r="L34" s="168"/>
      <c r="M34" s="3">
        <f>E34/E24-1</f>
        <v>1.538461538461533E-2</v>
      </c>
      <c r="N34" s="14"/>
      <c r="O34" s="164"/>
    </row>
    <row r="35" spans="1:15" x14ac:dyDescent="0.25">
      <c r="A35" s="296" t="s">
        <v>91</v>
      </c>
      <c r="B35">
        <f>SUM(B33:B34)</f>
        <v>41</v>
      </c>
      <c r="C35" s="150">
        <f>SUM(C33:C34)</f>
        <v>1</v>
      </c>
      <c r="D35" s="15">
        <f>SUMPRODUCT(D33:D34,C33:C34)</f>
        <v>59.902439024390247</v>
      </c>
      <c r="E35" s="15">
        <f>SUMPRODUCT(E33:E34,C33:C34)</f>
        <v>59.902439024390247</v>
      </c>
      <c r="F35" s="18">
        <f>SUM(F33:F34)</f>
        <v>2456</v>
      </c>
      <c r="H35" s="368" t="s">
        <v>64</v>
      </c>
      <c r="I35" s="159">
        <f>F35/F25-1</f>
        <v>0.18076923076923079</v>
      </c>
      <c r="J35" s="155">
        <f>B35/B25-1</f>
        <v>0.13888888888888884</v>
      </c>
      <c r="K35" s="160">
        <f>D35/D25-1</f>
        <v>3.6772983114446545E-2</v>
      </c>
      <c r="L35" s="165">
        <f>(1+K35)/(1+M35)-1</f>
        <v>1.9134123288302884E-2</v>
      </c>
      <c r="M35" s="155">
        <f>E36/E25-1</f>
        <v>1.7307692307692246E-2</v>
      </c>
      <c r="N35" s="75" cm="1">
        <f t="array" ref="N35">PRODUCT(1+L35:M35)-1</f>
        <v>3.6772983114446545E-2</v>
      </c>
      <c r="O35" s="74" t="b">
        <f>(1+N35)=(1+K35)</f>
        <v>1</v>
      </c>
    </row>
    <row r="36" spans="1:15" ht="15.75" thickBot="1" x14ac:dyDescent="0.3">
      <c r="A36" s="297" t="s">
        <v>92</v>
      </c>
      <c r="B36" s="151"/>
      <c r="C36" s="152"/>
      <c r="D36" s="153"/>
      <c r="E36" s="153">
        <f>SUMPRODUCT(E33:E34,C23:C24)</f>
        <v>58.777777777777779</v>
      </c>
      <c r="F36" s="154"/>
      <c r="H36" s="149"/>
      <c r="I36" s="161"/>
      <c r="J36" s="162"/>
      <c r="K36" s="163"/>
      <c r="L36" s="161"/>
      <c r="M36" s="162"/>
      <c r="N36" s="162"/>
      <c r="O36" s="166"/>
    </row>
    <row r="37" spans="1:15" ht="15" customHeight="1" x14ac:dyDescent="0.25">
      <c r="E37" s="607" t="s">
        <v>89</v>
      </c>
      <c r="M37" s="609" t="s">
        <v>93</v>
      </c>
      <c r="N37" s="610" t="s">
        <v>94</v>
      </c>
    </row>
    <row r="38" spans="1:15" x14ac:dyDescent="0.25">
      <c r="E38" s="608"/>
      <c r="M38" s="609"/>
      <c r="N38" s="609"/>
    </row>
    <row r="39" spans="1:15" x14ac:dyDescent="0.25">
      <c r="M39" s="609"/>
      <c r="N39" s="609"/>
    </row>
    <row r="40" spans="1:15" ht="21.75" thickBot="1" x14ac:dyDescent="0.4">
      <c r="A40" s="78" t="s">
        <v>97</v>
      </c>
      <c r="H40" s="78" t="str">
        <f>"ANNUALIZED PROJECTED TREND -- "&amp;RIGHT(A30,8)&amp;" to "&amp;RIGHT(A40,9)</f>
        <v>ANNUALIZED PROJECTED TREND -- PERIOD 3 to PLAN YEAR</v>
      </c>
    </row>
    <row r="41" spans="1:15" x14ac:dyDescent="0.25">
      <c r="A41" s="67" t="s">
        <v>81</v>
      </c>
      <c r="H41" s="67" t="s">
        <v>81</v>
      </c>
      <c r="I41" s="61"/>
      <c r="J41" s="62"/>
      <c r="K41" s="63"/>
      <c r="L41" s="68" t="s">
        <v>65</v>
      </c>
      <c r="M41" s="69"/>
      <c r="N41" s="70"/>
      <c r="O41" s="71"/>
    </row>
    <row r="42" spans="1:15" ht="30" x14ac:dyDescent="0.25">
      <c r="A42" s="309" t="s">
        <v>82</v>
      </c>
      <c r="B42" s="310" t="s">
        <v>83</v>
      </c>
      <c r="C42" s="310" t="s">
        <v>84</v>
      </c>
      <c r="D42" s="311" t="s">
        <v>55</v>
      </c>
      <c r="E42" s="310" t="s">
        <v>85</v>
      </c>
      <c r="F42" s="310" t="s">
        <v>86</v>
      </c>
      <c r="G42" s="312"/>
      <c r="H42" s="309" t="s">
        <v>82</v>
      </c>
      <c r="I42" s="314" t="s">
        <v>86</v>
      </c>
      <c r="J42" s="310" t="s">
        <v>96</v>
      </c>
      <c r="K42" s="315" t="s">
        <v>55</v>
      </c>
      <c r="L42" s="314" t="s">
        <v>69</v>
      </c>
      <c r="M42" s="311" t="s">
        <v>70</v>
      </c>
      <c r="N42" s="311" t="s">
        <v>55</v>
      </c>
      <c r="O42" s="316" t="s">
        <v>71</v>
      </c>
    </row>
    <row r="43" spans="1:15" x14ac:dyDescent="0.25">
      <c r="A43" s="293" t="s">
        <v>87</v>
      </c>
      <c r="B43" s="143">
        <v>26</v>
      </c>
      <c r="C43" s="64">
        <f>B43/B45</f>
        <v>0.56521739130434778</v>
      </c>
      <c r="D43" s="147">
        <f>E43</f>
        <v>60</v>
      </c>
      <c r="E43" s="145">
        <v>60</v>
      </c>
      <c r="F43" s="17">
        <f>D43*B43</f>
        <v>1560</v>
      </c>
      <c r="H43" s="368" t="s">
        <v>87</v>
      </c>
      <c r="I43" s="157">
        <f>F43/F33-1</f>
        <v>0.11428571428571432</v>
      </c>
      <c r="J43" s="2">
        <f>B43/B33-1</f>
        <v>4.0000000000000036E-2</v>
      </c>
      <c r="K43" s="158">
        <f>D43/D33-1</f>
        <v>7.1428571428571397E-2</v>
      </c>
      <c r="L43" s="167"/>
      <c r="M43" s="3">
        <f>E43/E33-1</f>
        <v>7.1428571428571397E-2</v>
      </c>
      <c r="N43" s="14"/>
      <c r="O43" s="164"/>
    </row>
    <row r="44" spans="1:15" x14ac:dyDescent="0.25">
      <c r="A44" s="294" t="s">
        <v>88</v>
      </c>
      <c r="B44" s="144">
        <v>20</v>
      </c>
      <c r="C44" s="66">
        <f>1-C43</f>
        <v>0.43478260869565222</v>
      </c>
      <c r="D44" s="148">
        <f>E44</f>
        <v>70</v>
      </c>
      <c r="E44" s="146">
        <v>70</v>
      </c>
      <c r="F44" s="72">
        <f>D44*B44</f>
        <v>1400</v>
      </c>
      <c r="H44" s="368" t="s">
        <v>88</v>
      </c>
      <c r="I44" s="157">
        <f>F44/F34-1</f>
        <v>0.32575757575757569</v>
      </c>
      <c r="J44" s="2">
        <f>B44/B34-1</f>
        <v>0.25</v>
      </c>
      <c r="K44" s="158">
        <f>D44/D34-1</f>
        <v>6.0606060606060552E-2</v>
      </c>
      <c r="L44" s="168"/>
      <c r="M44" s="3">
        <f>E44/E34-1</f>
        <v>6.0606060606060552E-2</v>
      </c>
      <c r="N44" s="14"/>
      <c r="O44" s="164"/>
    </row>
    <row r="45" spans="1:15" x14ac:dyDescent="0.25">
      <c r="A45" s="296" t="s">
        <v>91</v>
      </c>
      <c r="B45">
        <f>SUM(B43:B44)</f>
        <v>46</v>
      </c>
      <c r="C45" s="150">
        <f>SUM(C43:C44)</f>
        <v>1</v>
      </c>
      <c r="D45" s="15">
        <f>SUMPRODUCT(D43:D44,C43:C44)</f>
        <v>64.34782608695653</v>
      </c>
      <c r="E45" s="15">
        <f>SUMPRODUCT(E43:E44,C43:C44)</f>
        <v>64.34782608695653</v>
      </c>
      <c r="F45" s="18">
        <f>SUM(F43:F44)</f>
        <v>2960</v>
      </c>
      <c r="H45" s="368" t="s">
        <v>64</v>
      </c>
      <c r="I45" s="159">
        <f>F45/F35-1</f>
        <v>0.20521172638436491</v>
      </c>
      <c r="J45" s="155">
        <f>B45/B35-1</f>
        <v>0.12195121951219523</v>
      </c>
      <c r="K45" s="160">
        <f>D45/D35-1</f>
        <v>7.4210451777368736E-2</v>
      </c>
      <c r="L45" s="165">
        <f>(1+K45)/(1+M45)-1</f>
        <v>6.9697975439761972E-3</v>
      </c>
      <c r="M45" s="155">
        <f>E46/E35-1</f>
        <v>6.6775244299674297E-2</v>
      </c>
      <c r="N45" s="75" cm="1">
        <f t="array" ref="N45">PRODUCT(1+L45:M45)-1</f>
        <v>7.4210451777368736E-2</v>
      </c>
      <c r="O45" s="74" t="b">
        <f>(1+N45)=(1+K45)</f>
        <v>1</v>
      </c>
    </row>
    <row r="46" spans="1:15" ht="15.75" thickBot="1" x14ac:dyDescent="0.3">
      <c r="A46" s="297" t="s">
        <v>92</v>
      </c>
      <c r="B46" s="151"/>
      <c r="C46" s="152"/>
      <c r="D46" s="153"/>
      <c r="E46" s="153">
        <f>SUMPRODUCT(E43:E44,C33:C34)</f>
        <v>63.902439024390247</v>
      </c>
      <c r="F46" s="154"/>
      <c r="H46" s="149"/>
      <c r="I46" s="161"/>
      <c r="J46" s="162"/>
      <c r="K46" s="163"/>
      <c r="L46" s="161"/>
      <c r="M46" s="162"/>
      <c r="N46" s="162"/>
      <c r="O46" s="166"/>
    </row>
    <row r="47" spans="1:15" x14ac:dyDescent="0.25">
      <c r="E47" s="607" t="s">
        <v>98</v>
      </c>
      <c r="M47" s="609" t="s">
        <v>93</v>
      </c>
      <c r="N47" s="610" t="s">
        <v>94</v>
      </c>
    </row>
    <row r="48" spans="1:15" x14ac:dyDescent="0.25">
      <c r="E48" s="607"/>
      <c r="M48" s="609"/>
      <c r="N48" s="609"/>
    </row>
    <row r="49" spans="5:14" x14ac:dyDescent="0.25">
      <c r="E49" s="608"/>
      <c r="M49" s="609"/>
      <c r="N49" s="609"/>
    </row>
  </sheetData>
  <mergeCells count="10">
    <mergeCell ref="N47:N49"/>
    <mergeCell ref="N27:N29"/>
    <mergeCell ref="N37:N39"/>
    <mergeCell ref="M27:M29"/>
    <mergeCell ref="M37:M39"/>
    <mergeCell ref="E17:E18"/>
    <mergeCell ref="E37:E38"/>
    <mergeCell ref="E27:E28"/>
    <mergeCell ref="E47:E49"/>
    <mergeCell ref="M47:M49"/>
  </mergeCells>
  <conditionalFormatting sqref="O25">
    <cfRule type="cellIs" dxfId="7" priority="5" operator="equal">
      <formula>FALSE</formula>
    </cfRule>
  </conditionalFormatting>
  <conditionalFormatting sqref="O35">
    <cfRule type="cellIs" dxfId="6" priority="2" operator="equal">
      <formula>FALSE</formula>
    </cfRule>
  </conditionalFormatting>
  <conditionalFormatting sqref="O45">
    <cfRule type="cellIs" dxfId="5" priority="1" operator="equal">
      <formula>FALSE</formula>
    </cfRule>
  </conditionalFormatting>
  <printOptions horizontalCentered="1"/>
  <pageMargins left="0.25" right="0.25" top="0.75" bottom="0.75" header="0.25" footer="0.25"/>
  <pageSetup scale="48" orientation="landscape" horizontalDpi="1200" verticalDpi="1200" r:id="rId1"/>
  <headerFooter>
    <oddFooter>&amp;L2026 IND &amp;&amp; SG ACA MEDICAL RATE FILINGS -- COMMON EXHIBITS&amp;R03/21/2025</oddFooter>
  </headerFooter>
  <ignoredErrors>
    <ignoredError sqref="C1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2869-2F65-4438-8777-3F8487513F2D}">
  <sheetPr>
    <tabColor theme="9" tint="-0.499984740745262"/>
    <pageSetUpPr fitToPage="1"/>
  </sheetPr>
  <dimension ref="A1:AD68"/>
  <sheetViews>
    <sheetView showGridLines="0" zoomScale="70" zoomScaleNormal="70" workbookViewId="0">
      <pane xSplit="1" ySplit="6" topLeftCell="B7" activePane="bottomRight" state="frozen"/>
      <selection pane="topRight"/>
      <selection pane="bottomLeft"/>
      <selection pane="bottomRight"/>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 min="24" max="24" width="21.28515625" customWidth="1"/>
    <col min="25" max="26" width="32" customWidth="1"/>
    <col min="27" max="27" width="27.5703125" customWidth="1"/>
  </cols>
  <sheetData>
    <row r="1" spans="1:30" ht="26.25" x14ac:dyDescent="0.4">
      <c r="A1" s="272" t="s">
        <v>295</v>
      </c>
    </row>
    <row r="2" spans="1:30" ht="23.25" x14ac:dyDescent="0.35">
      <c r="A2" s="137"/>
    </row>
    <row r="3" spans="1:30" ht="21" x14ac:dyDescent="0.35">
      <c r="A3" s="271" t="s">
        <v>10</v>
      </c>
      <c r="B3" s="98"/>
      <c r="C3" s="611" t="s">
        <v>11</v>
      </c>
      <c r="D3" s="612"/>
      <c r="E3" s="612"/>
      <c r="F3" s="612"/>
      <c r="G3" s="612"/>
      <c r="H3" s="612"/>
      <c r="I3" s="612"/>
      <c r="J3" s="612"/>
      <c r="K3" s="612"/>
      <c r="L3" s="612"/>
    </row>
    <row r="4" spans="1:30" ht="21" x14ac:dyDescent="0.35">
      <c r="A4" s="271" t="s">
        <v>0</v>
      </c>
      <c r="B4" s="98"/>
      <c r="C4" s="611" t="s">
        <v>99</v>
      </c>
      <c r="D4" s="612"/>
      <c r="E4" s="612"/>
      <c r="F4" s="612"/>
      <c r="G4" s="612"/>
      <c r="H4" s="612"/>
      <c r="I4" s="612"/>
      <c r="J4" s="612"/>
      <c r="K4" s="612"/>
      <c r="L4" s="612"/>
    </row>
    <row r="5" spans="1:30" ht="21" x14ac:dyDescent="0.35">
      <c r="A5" s="271" t="s">
        <v>12</v>
      </c>
      <c r="B5" s="98"/>
      <c r="C5" s="611">
        <v>2026</v>
      </c>
      <c r="D5" s="612"/>
      <c r="E5" s="612"/>
      <c r="F5" s="612"/>
      <c r="G5" s="612"/>
      <c r="H5" s="612"/>
      <c r="I5" s="612"/>
      <c r="J5" s="612"/>
      <c r="K5" s="612"/>
      <c r="L5" s="612"/>
    </row>
    <row r="6" spans="1:30" ht="21" x14ac:dyDescent="0.35">
      <c r="A6" s="271" t="s">
        <v>13</v>
      </c>
      <c r="B6" s="98"/>
      <c r="C6" s="611">
        <v>2024</v>
      </c>
      <c r="D6" s="612"/>
      <c r="E6" s="612"/>
      <c r="F6" s="612"/>
      <c r="G6" s="612"/>
      <c r="H6" s="612"/>
      <c r="I6" s="612"/>
      <c r="J6" s="612"/>
      <c r="K6" s="612"/>
      <c r="L6" s="612"/>
      <c r="X6" s="230" t="s">
        <v>100</v>
      </c>
      <c r="Y6" s="275"/>
      <c r="Z6" s="275"/>
      <c r="AA6" s="275"/>
      <c r="AB6" s="275"/>
      <c r="AC6" s="275"/>
      <c r="AD6" s="275"/>
    </row>
    <row r="7" spans="1:30" s="82" customFormat="1" ht="15.75" x14ac:dyDescent="0.25">
      <c r="K7"/>
      <c r="L7"/>
      <c r="M7"/>
      <c r="N7"/>
      <c r="O7"/>
      <c r="P7"/>
      <c r="Q7"/>
      <c r="X7" s="231"/>
      <c r="Y7" s="284" t="s">
        <v>101</v>
      </c>
      <c r="Z7" s="284" t="s">
        <v>102</v>
      </c>
      <c r="AA7" s="231"/>
      <c r="AB7" s="231"/>
      <c r="AC7" s="231"/>
      <c r="AD7" s="231"/>
    </row>
    <row r="8" spans="1:30" s="82" customFormat="1" ht="21" x14ac:dyDescent="0.35">
      <c r="A8" s="271" t="s">
        <v>103</v>
      </c>
      <c r="K8" s="364" t="s">
        <v>104</v>
      </c>
      <c r="L8" s="364"/>
      <c r="M8" s="364"/>
      <c r="N8" s="364"/>
      <c r="O8" s="364"/>
      <c r="P8"/>
      <c r="Q8"/>
      <c r="X8" s="231"/>
      <c r="Y8" s="232">
        <v>8.5000000000000006E-2</v>
      </c>
      <c r="Z8" s="232">
        <v>5.0000000000000001E-3</v>
      </c>
      <c r="AA8" s="231"/>
      <c r="AB8" s="231"/>
      <c r="AC8" s="231"/>
      <c r="AD8" s="231"/>
    </row>
    <row r="9" spans="1:30" s="238" customFormat="1" ht="103.5" customHeight="1" x14ac:dyDescent="0.25">
      <c r="A9" s="317" t="s">
        <v>105</v>
      </c>
      <c r="B9" s="318" t="s">
        <v>106</v>
      </c>
      <c r="C9" s="318" t="s">
        <v>107</v>
      </c>
      <c r="D9" s="318" t="s">
        <v>108</v>
      </c>
      <c r="E9" s="318" t="s">
        <v>109</v>
      </c>
      <c r="F9" s="318" t="s">
        <v>110</v>
      </c>
      <c r="G9" s="318" t="s">
        <v>111</v>
      </c>
      <c r="H9" s="318" t="s">
        <v>112</v>
      </c>
      <c r="I9" s="318" t="s">
        <v>113</v>
      </c>
      <c r="J9" s="318" t="s">
        <v>114</v>
      </c>
      <c r="K9" s="319" t="s">
        <v>115</v>
      </c>
      <c r="L9" s="319" t="s">
        <v>116</v>
      </c>
      <c r="M9" s="319" t="s">
        <v>117</v>
      </c>
      <c r="N9" s="319" t="s">
        <v>118</v>
      </c>
      <c r="O9" s="319" t="s">
        <v>119</v>
      </c>
      <c r="P9" s="318" t="s">
        <v>120</v>
      </c>
      <c r="Q9" s="318" t="s">
        <v>121</v>
      </c>
      <c r="R9" s="318" t="s">
        <v>122</v>
      </c>
      <c r="S9" s="320" t="s">
        <v>123</v>
      </c>
      <c r="T9" s="320" t="s">
        <v>124</v>
      </c>
      <c r="X9" s="234" t="s">
        <v>105</v>
      </c>
      <c r="Y9" s="235" t="s">
        <v>125</v>
      </c>
      <c r="Z9" s="235" t="s">
        <v>102</v>
      </c>
      <c r="AA9" s="235" t="s">
        <v>126</v>
      </c>
      <c r="AB9" s="236"/>
      <c r="AC9" s="236"/>
      <c r="AD9" s="237"/>
    </row>
    <row r="10" spans="1:30" s="238" customFormat="1" ht="15.75" x14ac:dyDescent="0.25">
      <c r="A10" s="239">
        <f>IF(RIGHT(A11,2)="01",A11-89,A11-1)*1</f>
        <v>202201</v>
      </c>
      <c r="B10" s="240">
        <v>100000</v>
      </c>
      <c r="C10" s="347">
        <f ca="1">tbl_Exh3.1[[#This Row],[Member Months]]*300*(AA10)*tbl_Exh3.1[[#This Row],[Accumulated Adjustments]]+tbl_Exh3.1[[#This Row],[One-Time Adjustment for High Claims (Non-Predictive Claims)]]+tbl_Exh3.1[[#This Row],[One-Time Adjustment for HCRP Receipts]]</f>
        <v>29883789.168564573</v>
      </c>
      <c r="D10" s="241">
        <f t="shared" ref="D10:D45" si="0">0.985</f>
        <v>0.98499999999999999</v>
      </c>
      <c r="E10" s="353">
        <f ca="1">tbl_Exh3.1[[#This Row],[Allowed Claims 
(as of 3/31/2025)]]/tbl_Exh3.1[[#This Row],[Allowed Claims Completion factor (based on IBNP estimates)]]</f>
        <v>30338872.25234982</v>
      </c>
      <c r="F10" s="357"/>
      <c r="G10" s="357"/>
      <c r="H10" s="347">
        <f ca="1">0.01*tbl_Exh3.1[[#This Row],[Ultimate Allowed Claims]]</f>
        <v>303388.72252349823</v>
      </c>
      <c r="I10" s="353">
        <f ca="1">tbl_Exh3.1[[#This Row],[Ultimate Allowed Claims]]-tbl_Exh3.1[[#This Row],[One-Time Adjustment for High Claims (Non-Predictive Claims)]]-tbl_Exh3.1[[#This Row],[One-Time Adjustment for HCRP Receipts]]-tbl_Exh3.1[[#This Row],[Non-EHB Allowed Claims]]</f>
        <v>30035483.529826321</v>
      </c>
      <c r="J10" s="325">
        <f ca="1">tbl_Exh3.1[[#This Row],[Predictive Ultimate Allowed EHB Claims]]/tbl_Exh3.1[[#This Row],[Member Months]]</f>
        <v>300.3548352982632</v>
      </c>
      <c r="K10" s="242">
        <v>1</v>
      </c>
      <c r="L10" s="242">
        <v>1</v>
      </c>
      <c r="M10" s="242">
        <v>1</v>
      </c>
      <c r="N10" s="242">
        <v>1</v>
      </c>
      <c r="O10" s="242">
        <f>PRODUCT(tbl_Exh3.1[[#This Row],[Morbidity Adjustment]:[Other Adjustments]])</f>
        <v>1</v>
      </c>
      <c r="P10" s="242" cm="1">
        <f t="array" ref="P10">PRODUCT(IF(VALUE(RIGHT(tbl_Exh3.1[Incurred Date (YYYYMM)],2))=VALUE(RIGHT(tbl_Exh3.1[[#This Row],[Incurred Date (YYYYMM)]],2)),IF(VALUE(LEFT(tbl_Exh3.1[Incurred Date (YYYYMM)],4))&lt;=VALUE(LEFT(tbl_Exh3.1[[#This Row],[Incurred Date (YYYYMM)]],4)),tbl_Exh3.1[Combined Adjustment],1),1))</f>
        <v>1</v>
      </c>
      <c r="Q10" s="242">
        <f>INDEX(tbl_Exh3.1[Accumulated Adjustments],MATCH(VALUE(SUBSTITUTE(tbl_Exh3.1[[#This Row],[Incurred Date (YYYYMM)]],LEFT(tbl_Exh3.1[[#This Row],[Incurred Date (YYYYMM)]],4),ExperYear)),tbl_Exh3.1[Incurred Date (YYYYMM)],0))/tbl_Exh3.1[[#This Row],[Accumulated Adjustments]]</f>
        <v>1.0568908869465956</v>
      </c>
      <c r="R10" s="243">
        <f ca="1">tbl_Exh3.1[[#This Row],[Allowable Rating Adjustment Normalization Factor]]*tbl_Exh3.1[[#This Row],[Predictive Ultimate Allowed EHB Claims PMPM]]</f>
        <v>317.44228827708002</v>
      </c>
      <c r="S10" s="244"/>
      <c r="T10" s="245"/>
      <c r="U10" s="283"/>
      <c r="V10" s="283"/>
      <c r="W10" s="283"/>
      <c r="X10" s="246">
        <v>202201</v>
      </c>
      <c r="Y10" s="247">
        <v>1</v>
      </c>
      <c r="Z10" s="247">
        <f t="shared" ref="Z10:Z45" ca="1" si="1">$Z$8*(RAND()*-1)</f>
        <v>-3.8736943811809245E-3</v>
      </c>
      <c r="AA10" s="247">
        <f t="shared" ref="AA10:AA45" ca="1" si="2">Y10+Z10</f>
        <v>0.9961263056188191</v>
      </c>
      <c r="AB10" s="236"/>
      <c r="AC10" s="236"/>
      <c r="AD10" s="236"/>
    </row>
    <row r="11" spans="1:30" s="238" customFormat="1" ht="15.75" x14ac:dyDescent="0.25">
      <c r="A11" s="239">
        <f t="shared" ref="A11:A44" si="3">IF(RIGHT(A12,2)="01",A12-89,A12-1)*1</f>
        <v>202202</v>
      </c>
      <c r="B11" s="240">
        <v>100000</v>
      </c>
      <c r="C11" s="347">
        <f ca="1">tbl_Exh3.1[[#This Row],[Member Months]]*300*(AA11)*tbl_Exh3.1[[#This Row],[Accumulated Adjustments]]+tbl_Exh3.1[[#This Row],[One-Time Adjustment for High Claims (Non-Predictive Claims)]]+tbl_Exh3.1[[#This Row],[One-Time Adjustment for HCRP Receipts]]</f>
        <v>29887755.177709561</v>
      </c>
      <c r="D11" s="241">
        <f t="shared" si="0"/>
        <v>0.98499999999999999</v>
      </c>
      <c r="E11" s="353">
        <f ca="1">tbl_Exh3.1[[#This Row],[Allowed Claims 
(as of 3/31/2025)]]/tbl_Exh3.1[[#This Row],[Allowed Claims Completion factor (based on IBNP estimates)]]</f>
        <v>30342898.65757316</v>
      </c>
      <c r="F11" s="357"/>
      <c r="G11" s="357"/>
      <c r="H11" s="347">
        <f ca="1">0.01*tbl_Exh3.1[[#This Row],[Ultimate Allowed Claims]]</f>
        <v>303428.9865757316</v>
      </c>
      <c r="I11" s="353">
        <f ca="1">tbl_Exh3.1[[#This Row],[Ultimate Allowed Claims]]-tbl_Exh3.1[[#This Row],[One-Time Adjustment for High Claims (Non-Predictive Claims)]]-tbl_Exh3.1[[#This Row],[One-Time Adjustment for HCRP Receipts]]-tbl_Exh3.1[[#This Row],[Non-EHB Allowed Claims]]</f>
        <v>30039469.67099743</v>
      </c>
      <c r="J11" s="325">
        <f ca="1">tbl_Exh3.1[[#This Row],[Predictive Ultimate Allowed EHB Claims]]/tbl_Exh3.1[[#This Row],[Member Months]]</f>
        <v>300.39469670997431</v>
      </c>
      <c r="K11" s="242">
        <v>1</v>
      </c>
      <c r="L11" s="242">
        <v>1</v>
      </c>
      <c r="M11" s="242">
        <v>1</v>
      </c>
      <c r="N11" s="242">
        <v>1</v>
      </c>
      <c r="O11" s="242">
        <f>PRODUCT(tbl_Exh3.1[[#This Row],[Morbidity Adjustment]:[Other Adjustments]])</f>
        <v>1</v>
      </c>
      <c r="P11" s="242" cm="1">
        <f t="array" ref="P11">PRODUCT(IF(VALUE(RIGHT(tbl_Exh3.1[Incurred Date (YYYYMM)],2))=VALUE(RIGHT(tbl_Exh3.1[[#This Row],[Incurred Date (YYYYMM)]],2)),IF(VALUE(LEFT(tbl_Exh3.1[Incurred Date (YYYYMM)],4))&lt;=VALUE(LEFT(tbl_Exh3.1[[#This Row],[Incurred Date (YYYYMM)]],4)),tbl_Exh3.1[Combined Adjustment],1),1))</f>
        <v>1</v>
      </c>
      <c r="Q11" s="242">
        <f>INDEX(tbl_Exh3.1[Accumulated Adjustments],MATCH(VALUE(SUBSTITUTE(tbl_Exh3.1[[#This Row],[Incurred Date (YYYYMM)]],LEFT(tbl_Exh3.1[[#This Row],[Incurred Date (YYYYMM)]],4),ExperYear)),tbl_Exh3.1[Incurred Date (YYYYMM)],0))/tbl_Exh3.1[[#This Row],[Accumulated Adjustments]]</f>
        <v>1.0568908869465956</v>
      </c>
      <c r="R11" s="243">
        <f ca="1">tbl_Exh3.1[[#This Row],[Allowable Rating Adjustment Normalization Factor]]*tbl_Exh3.1[[#This Row],[Predictive Ultimate Allowed EHB Claims PMPM]]</f>
        <v>317.48441743985836</v>
      </c>
      <c r="S11" s="244"/>
      <c r="T11" s="245"/>
      <c r="U11" s="283"/>
      <c r="V11" s="283"/>
      <c r="W11" s="283"/>
      <c r="X11" s="248">
        <v>202202</v>
      </c>
      <c r="Y11" s="249">
        <f>Y10</f>
        <v>1</v>
      </c>
      <c r="Z11" s="249">
        <f t="shared" ca="1" si="1"/>
        <v>-3.7414940763479225E-3</v>
      </c>
      <c r="AA11" s="249">
        <f t="shared" ca="1" si="2"/>
        <v>0.99625850592365206</v>
      </c>
      <c r="AB11" s="250"/>
      <c r="AC11" s="250"/>
      <c r="AD11" s="250"/>
    </row>
    <row r="12" spans="1:30" s="238" customFormat="1" ht="15.75" x14ac:dyDescent="0.25">
      <c r="A12" s="239">
        <f t="shared" si="3"/>
        <v>202203</v>
      </c>
      <c r="B12" s="240">
        <v>100000</v>
      </c>
      <c r="C12" s="347">
        <f ca="1">tbl_Exh3.1[[#This Row],[Member Months]]*300*(AA12)*tbl_Exh3.1[[#This Row],[Accumulated Adjustments]]+tbl_Exh3.1[[#This Row],[One-Time Adjustment for High Claims (Non-Predictive Claims)]]+tbl_Exh3.1[[#This Row],[One-Time Adjustment for HCRP Receipts]]</f>
        <v>29891764.282681197</v>
      </c>
      <c r="D12" s="241">
        <f t="shared" si="0"/>
        <v>0.98499999999999999</v>
      </c>
      <c r="E12" s="353">
        <f ca="1">tbl_Exh3.1[[#This Row],[Allowed Claims 
(as of 3/31/2025)]]/tbl_Exh3.1[[#This Row],[Allowed Claims Completion factor (based on IBNP estimates)]]</f>
        <v>30346968.814904768</v>
      </c>
      <c r="F12" s="357"/>
      <c r="G12" s="357"/>
      <c r="H12" s="347">
        <f ca="1">0.01*tbl_Exh3.1[[#This Row],[Ultimate Allowed Claims]]</f>
        <v>303469.68814904767</v>
      </c>
      <c r="I12" s="353">
        <f ca="1">tbl_Exh3.1[[#This Row],[Ultimate Allowed Claims]]-tbl_Exh3.1[[#This Row],[One-Time Adjustment for High Claims (Non-Predictive Claims)]]-tbl_Exh3.1[[#This Row],[One-Time Adjustment for HCRP Receipts]]-tbl_Exh3.1[[#This Row],[Non-EHB Allowed Claims]]</f>
        <v>30043499.126755722</v>
      </c>
      <c r="J12" s="325">
        <f ca="1">tbl_Exh3.1[[#This Row],[Predictive Ultimate Allowed EHB Claims]]/tbl_Exh3.1[[#This Row],[Member Months]]</f>
        <v>300.43499126755722</v>
      </c>
      <c r="K12" s="242">
        <v>1</v>
      </c>
      <c r="L12" s="242">
        <v>1</v>
      </c>
      <c r="M12" s="242">
        <v>1</v>
      </c>
      <c r="N12" s="242">
        <v>1</v>
      </c>
      <c r="O12" s="242">
        <f>PRODUCT(tbl_Exh3.1[[#This Row],[Morbidity Adjustment]:[Other Adjustments]])</f>
        <v>1</v>
      </c>
      <c r="P12" s="242" cm="1">
        <f t="array" ref="P12">PRODUCT(IF(VALUE(RIGHT(tbl_Exh3.1[Incurred Date (YYYYMM)],2))=VALUE(RIGHT(tbl_Exh3.1[[#This Row],[Incurred Date (YYYYMM)]],2)),IF(VALUE(LEFT(tbl_Exh3.1[Incurred Date (YYYYMM)],4))&lt;=VALUE(LEFT(tbl_Exh3.1[[#This Row],[Incurred Date (YYYYMM)]],4)),tbl_Exh3.1[Combined Adjustment],1),1))</f>
        <v>1</v>
      </c>
      <c r="Q12" s="242">
        <f>INDEX(tbl_Exh3.1[Accumulated Adjustments],MATCH(VALUE(SUBSTITUTE(tbl_Exh3.1[[#This Row],[Incurred Date (YYYYMM)]],LEFT(tbl_Exh3.1[[#This Row],[Incurred Date (YYYYMM)]],4),ExperYear)),tbl_Exh3.1[Incurred Date (YYYYMM)],0))/tbl_Exh3.1[[#This Row],[Accumulated Adjustments]]</f>
        <v>1.0568908869465956</v>
      </c>
      <c r="R12" s="243">
        <f ca="1">tbl_Exh3.1[[#This Row],[Allowable Rating Adjustment Normalization Factor]]*tbl_Exh3.1[[#This Row],[Predictive Ultimate Allowed EHB Claims PMPM]]</f>
        <v>317.52700439056127</v>
      </c>
      <c r="S12" s="244"/>
      <c r="T12" s="245"/>
      <c r="U12" s="283"/>
      <c r="V12" s="283"/>
      <c r="W12" s="283"/>
      <c r="X12" s="248">
        <v>202203</v>
      </c>
      <c r="Y12" s="249">
        <f t="shared" ref="Y12:Y20" si="4">Y11</f>
        <v>1</v>
      </c>
      <c r="Z12" s="249">
        <f t="shared" ca="1" si="1"/>
        <v>-3.6078572439601163E-3</v>
      </c>
      <c r="AA12" s="249">
        <f t="shared" ca="1" si="2"/>
        <v>0.99639214275603993</v>
      </c>
      <c r="AB12" s="250"/>
      <c r="AC12" s="250"/>
      <c r="AD12" s="250"/>
    </row>
    <row r="13" spans="1:30" s="238" customFormat="1" ht="15.75" x14ac:dyDescent="0.25">
      <c r="A13" s="239">
        <f t="shared" si="3"/>
        <v>202204</v>
      </c>
      <c r="B13" s="240">
        <v>100000</v>
      </c>
      <c r="C13" s="347">
        <f ca="1">tbl_Exh3.1[[#This Row],[Member Months]]*300*(AA13)*tbl_Exh3.1[[#This Row],[Accumulated Adjustments]]+tbl_Exh3.1[[#This Row],[One-Time Adjustment for High Claims (Non-Predictive Claims)]]+tbl_Exh3.1[[#This Row],[One-Time Adjustment for HCRP Receipts]]</f>
        <v>29880919.254421778</v>
      </c>
      <c r="D13" s="241">
        <f t="shared" si="0"/>
        <v>0.98499999999999999</v>
      </c>
      <c r="E13" s="353">
        <f ca="1">tbl_Exh3.1[[#This Row],[Allowed Claims 
(as of 3/31/2025)]]/tbl_Exh3.1[[#This Row],[Allowed Claims Completion factor (based on IBNP estimates)]]</f>
        <v>30335958.633930739</v>
      </c>
      <c r="F13" s="357"/>
      <c r="G13" s="357"/>
      <c r="H13" s="347">
        <f ca="1">0.01*tbl_Exh3.1[[#This Row],[Ultimate Allowed Claims]]</f>
        <v>303359.58633930743</v>
      </c>
      <c r="I13" s="353">
        <f ca="1">tbl_Exh3.1[[#This Row],[Ultimate Allowed Claims]]-tbl_Exh3.1[[#This Row],[One-Time Adjustment for High Claims (Non-Predictive Claims)]]-tbl_Exh3.1[[#This Row],[One-Time Adjustment for HCRP Receipts]]-tbl_Exh3.1[[#This Row],[Non-EHB Allowed Claims]]</f>
        <v>30032599.047591433</v>
      </c>
      <c r="J13" s="325">
        <f ca="1">tbl_Exh3.1[[#This Row],[Predictive Ultimate Allowed EHB Claims]]/tbl_Exh3.1[[#This Row],[Member Months]]</f>
        <v>300.32599047591435</v>
      </c>
      <c r="K13" s="242">
        <v>1</v>
      </c>
      <c r="L13" s="242">
        <v>1</v>
      </c>
      <c r="M13" s="242">
        <v>1</v>
      </c>
      <c r="N13" s="242">
        <v>1</v>
      </c>
      <c r="O13" s="242">
        <f>PRODUCT(tbl_Exh3.1[[#This Row],[Morbidity Adjustment]:[Other Adjustments]])</f>
        <v>1</v>
      </c>
      <c r="P13" s="242" cm="1">
        <f t="array" ref="P13">PRODUCT(IF(VALUE(RIGHT(tbl_Exh3.1[Incurred Date (YYYYMM)],2))=VALUE(RIGHT(tbl_Exh3.1[[#This Row],[Incurred Date (YYYYMM)]],2)),IF(VALUE(LEFT(tbl_Exh3.1[Incurred Date (YYYYMM)],4))&lt;=VALUE(LEFT(tbl_Exh3.1[[#This Row],[Incurred Date (YYYYMM)]],4)),tbl_Exh3.1[Combined Adjustment],1),1))</f>
        <v>1</v>
      </c>
      <c r="Q13" s="242">
        <f>INDEX(tbl_Exh3.1[Accumulated Adjustments],MATCH(VALUE(SUBSTITUTE(tbl_Exh3.1[[#This Row],[Incurred Date (YYYYMM)]],LEFT(tbl_Exh3.1[[#This Row],[Incurred Date (YYYYMM)]],4),ExperYear)),tbl_Exh3.1[Incurred Date (YYYYMM)],0))/tbl_Exh3.1[[#This Row],[Accumulated Adjustments]]</f>
        <v>1.0568908869465956</v>
      </c>
      <c r="R13" s="243">
        <f ca="1">tbl_Exh3.1[[#This Row],[Allowable Rating Adjustment Normalization Factor]]*tbl_Exh3.1[[#This Row],[Predictive Ultimate Allowed EHB Claims PMPM]]</f>
        <v>317.41180244720397</v>
      </c>
      <c r="S13" s="244"/>
      <c r="T13" s="245"/>
      <c r="U13" s="283"/>
      <c r="V13" s="283"/>
      <c r="W13" s="283"/>
      <c r="X13" s="248">
        <v>202204</v>
      </c>
      <c r="Y13" s="249">
        <f t="shared" si="4"/>
        <v>1</v>
      </c>
      <c r="Z13" s="249">
        <f t="shared" ca="1" si="1"/>
        <v>-3.9693581859406345E-3</v>
      </c>
      <c r="AA13" s="249">
        <f t="shared" ca="1" si="2"/>
        <v>0.99603064181405931</v>
      </c>
      <c r="AB13" s="250"/>
      <c r="AC13" s="250"/>
      <c r="AD13" s="250"/>
    </row>
    <row r="14" spans="1:30" s="238" customFormat="1" ht="15.75" x14ac:dyDescent="0.25">
      <c r="A14" s="239">
        <f t="shared" si="3"/>
        <v>202205</v>
      </c>
      <c r="B14" s="240">
        <v>100000</v>
      </c>
      <c r="C14" s="347">
        <f ca="1">tbl_Exh3.1[[#This Row],[Member Months]]*300*(AA14)*tbl_Exh3.1[[#This Row],[Accumulated Adjustments]]+tbl_Exh3.1[[#This Row],[One-Time Adjustment for High Claims (Non-Predictive Claims)]]+tbl_Exh3.1[[#This Row],[One-Time Adjustment for HCRP Receipts]]</f>
        <v>29936598.991272476</v>
      </c>
      <c r="D14" s="241">
        <f t="shared" si="0"/>
        <v>0.98499999999999999</v>
      </c>
      <c r="E14" s="353">
        <f ca="1">tbl_Exh3.1[[#This Row],[Allowed Claims 
(as of 3/31/2025)]]/tbl_Exh3.1[[#This Row],[Allowed Claims Completion factor (based on IBNP estimates)]]</f>
        <v>30392486.285555813</v>
      </c>
      <c r="F14" s="357"/>
      <c r="G14" s="357"/>
      <c r="H14" s="347">
        <f ca="1">0.01*tbl_Exh3.1[[#This Row],[Ultimate Allowed Claims]]</f>
        <v>303924.86285555817</v>
      </c>
      <c r="I14" s="353">
        <f ca="1">tbl_Exh3.1[[#This Row],[Ultimate Allowed Claims]]-tbl_Exh3.1[[#This Row],[One-Time Adjustment for High Claims (Non-Predictive Claims)]]-tbl_Exh3.1[[#This Row],[One-Time Adjustment for HCRP Receipts]]-tbl_Exh3.1[[#This Row],[Non-EHB Allowed Claims]]</f>
        <v>30088561.422700256</v>
      </c>
      <c r="J14" s="325">
        <f ca="1">tbl_Exh3.1[[#This Row],[Predictive Ultimate Allowed EHB Claims]]/tbl_Exh3.1[[#This Row],[Member Months]]</f>
        <v>300.88561422700258</v>
      </c>
      <c r="K14" s="242">
        <v>1</v>
      </c>
      <c r="L14" s="242">
        <v>1</v>
      </c>
      <c r="M14" s="242">
        <v>1</v>
      </c>
      <c r="N14" s="242">
        <v>1</v>
      </c>
      <c r="O14" s="242">
        <f>PRODUCT(tbl_Exh3.1[[#This Row],[Morbidity Adjustment]:[Other Adjustments]])</f>
        <v>1</v>
      </c>
      <c r="P14" s="242" cm="1">
        <f t="array" ref="P14">PRODUCT(IF(VALUE(RIGHT(tbl_Exh3.1[Incurred Date (YYYYMM)],2))=VALUE(RIGHT(tbl_Exh3.1[[#This Row],[Incurred Date (YYYYMM)]],2)),IF(VALUE(LEFT(tbl_Exh3.1[Incurred Date (YYYYMM)],4))&lt;=VALUE(LEFT(tbl_Exh3.1[[#This Row],[Incurred Date (YYYYMM)]],4)),tbl_Exh3.1[Combined Adjustment],1),1))</f>
        <v>1</v>
      </c>
      <c r="Q14" s="242">
        <f>INDEX(tbl_Exh3.1[Accumulated Adjustments],MATCH(VALUE(SUBSTITUTE(tbl_Exh3.1[[#This Row],[Incurred Date (YYYYMM)]],LEFT(tbl_Exh3.1[[#This Row],[Incurred Date (YYYYMM)]],4),ExperYear)),tbl_Exh3.1[Incurred Date (YYYYMM)],0))/tbl_Exh3.1[[#This Row],[Accumulated Adjustments]]</f>
        <v>1.0568908869465956</v>
      </c>
      <c r="R14" s="243">
        <f ca="1">tbl_Exh3.1[[#This Row],[Allowable Rating Adjustment Normalization Factor]]*tbl_Exh3.1[[#This Row],[Predictive Ultimate Allowed EHB Claims PMPM]]</f>
        <v>318.00326368984798</v>
      </c>
      <c r="S14" s="244"/>
      <c r="T14" s="245"/>
      <c r="U14" s="283"/>
      <c r="V14" s="283"/>
      <c r="W14" s="283"/>
      <c r="X14" s="248">
        <v>202205</v>
      </c>
      <c r="Y14" s="249">
        <f t="shared" si="4"/>
        <v>1</v>
      </c>
      <c r="Z14" s="249">
        <f t="shared" ca="1" si="1"/>
        <v>-2.1133669575840903E-3</v>
      </c>
      <c r="AA14" s="249">
        <f t="shared" ca="1" si="2"/>
        <v>0.99788663304241587</v>
      </c>
      <c r="AB14" s="250"/>
      <c r="AC14" s="250"/>
      <c r="AD14" s="250"/>
    </row>
    <row r="15" spans="1:30" s="238" customFormat="1" ht="15.75" x14ac:dyDescent="0.25">
      <c r="A15" s="239">
        <f t="shared" si="3"/>
        <v>202206</v>
      </c>
      <c r="B15" s="240">
        <v>100000</v>
      </c>
      <c r="C15" s="347">
        <f ca="1">tbl_Exh3.1[[#This Row],[Member Months]]*300*(AA15)*tbl_Exh3.1[[#This Row],[Accumulated Adjustments]]+tbl_Exh3.1[[#This Row],[One-Time Adjustment for High Claims (Non-Predictive Claims)]]+tbl_Exh3.1[[#This Row],[One-Time Adjustment for HCRP Receipts]]</f>
        <v>30000540.88634827</v>
      </c>
      <c r="D15" s="241">
        <f t="shared" si="0"/>
        <v>0.98499999999999999</v>
      </c>
      <c r="E15" s="353">
        <f ca="1">tbl_Exh3.1[[#This Row],[Allowed Claims 
(as of 3/31/2025)]]/tbl_Exh3.1[[#This Row],[Allowed Claims Completion factor (based on IBNP estimates)]]</f>
        <v>30457401.915074386</v>
      </c>
      <c r="F15" s="357">
        <v>50000</v>
      </c>
      <c r="G15" s="357"/>
      <c r="H15" s="347">
        <f ca="1">0.01*tbl_Exh3.1[[#This Row],[Ultimate Allowed Claims]]</f>
        <v>304574.01915074384</v>
      </c>
      <c r="I15" s="353">
        <f ca="1">tbl_Exh3.1[[#This Row],[Ultimate Allowed Claims]]-tbl_Exh3.1[[#This Row],[One-Time Adjustment for High Claims (Non-Predictive Claims)]]-tbl_Exh3.1[[#This Row],[One-Time Adjustment for HCRP Receipts]]-tbl_Exh3.1[[#This Row],[Non-EHB Allowed Claims]]</f>
        <v>30102827.895923641</v>
      </c>
      <c r="J15" s="325">
        <f ca="1">tbl_Exh3.1[[#This Row],[Predictive Ultimate Allowed EHB Claims]]/tbl_Exh3.1[[#This Row],[Member Months]]</f>
        <v>301.02827895923639</v>
      </c>
      <c r="K15" s="242">
        <v>1</v>
      </c>
      <c r="L15" s="242">
        <v>1</v>
      </c>
      <c r="M15" s="242">
        <v>1</v>
      </c>
      <c r="N15" s="242">
        <v>1</v>
      </c>
      <c r="O15" s="242">
        <f>PRODUCT(tbl_Exh3.1[[#This Row],[Morbidity Adjustment]:[Other Adjustments]])</f>
        <v>1</v>
      </c>
      <c r="P15" s="242" cm="1">
        <f t="array" ref="P15">PRODUCT(IF(VALUE(RIGHT(tbl_Exh3.1[Incurred Date (YYYYMM)],2))=VALUE(RIGHT(tbl_Exh3.1[[#This Row],[Incurred Date (YYYYMM)]],2)),IF(VALUE(LEFT(tbl_Exh3.1[Incurred Date (YYYYMM)],4))&lt;=VALUE(LEFT(tbl_Exh3.1[[#This Row],[Incurred Date (YYYYMM)]],4)),tbl_Exh3.1[Combined Adjustment],1),1))</f>
        <v>1</v>
      </c>
      <c r="Q15" s="242">
        <f>INDEX(tbl_Exh3.1[Accumulated Adjustments],MATCH(VALUE(SUBSTITUTE(tbl_Exh3.1[[#This Row],[Incurred Date (YYYYMM)]],LEFT(tbl_Exh3.1[[#This Row],[Incurred Date (YYYYMM)]],4),ExperYear)),tbl_Exh3.1[Incurred Date (YYYYMM)],0))/tbl_Exh3.1[[#This Row],[Accumulated Adjustments]]</f>
        <v>1.0568908869465956</v>
      </c>
      <c r="R15" s="243">
        <f ca="1">tbl_Exh3.1[[#This Row],[Allowable Rating Adjustment Normalization Factor]]*tbl_Exh3.1[[#This Row],[Predictive Ultimate Allowed EHB Claims PMPM]]</f>
        <v>318.15404474523456</v>
      </c>
      <c r="S15" s="244"/>
      <c r="T15" s="245"/>
      <c r="U15" s="283"/>
      <c r="V15" s="283"/>
      <c r="W15" s="283"/>
      <c r="X15" s="248">
        <v>202206</v>
      </c>
      <c r="Y15" s="249">
        <f t="shared" si="4"/>
        <v>1</v>
      </c>
      <c r="Z15" s="249">
        <f t="shared" ca="1" si="1"/>
        <v>-1.6486371217243718E-3</v>
      </c>
      <c r="AA15" s="249">
        <f t="shared" ca="1" si="2"/>
        <v>0.99835136287827564</v>
      </c>
      <c r="AB15" s="250"/>
      <c r="AC15" s="250"/>
      <c r="AD15" s="250"/>
    </row>
    <row r="16" spans="1:30" s="238" customFormat="1" ht="15.75" x14ac:dyDescent="0.25">
      <c r="A16" s="239">
        <f t="shared" si="3"/>
        <v>202207</v>
      </c>
      <c r="B16" s="240">
        <v>100000</v>
      </c>
      <c r="C16" s="347">
        <f ca="1">tbl_Exh3.1[[#This Row],[Member Months]]*300*(AA16)*tbl_Exh3.1[[#This Row],[Accumulated Adjustments]]+tbl_Exh3.1[[#This Row],[One-Time Adjustment for High Claims (Non-Predictive Claims)]]+tbl_Exh3.1[[#This Row],[One-Time Adjustment for HCRP Receipts]]</f>
        <v>29957604.805860274</v>
      </c>
      <c r="D16" s="241">
        <f t="shared" si="0"/>
        <v>0.98499999999999999</v>
      </c>
      <c r="E16" s="353">
        <f ca="1">tbl_Exh3.1[[#This Row],[Allowed Claims 
(as of 3/31/2025)]]/tbl_Exh3.1[[#This Row],[Allowed Claims Completion factor (based on IBNP estimates)]]</f>
        <v>30413811.985644948</v>
      </c>
      <c r="F16" s="357"/>
      <c r="G16" s="357"/>
      <c r="H16" s="347">
        <f ca="1">0.01*tbl_Exh3.1[[#This Row],[Ultimate Allowed Claims]]</f>
        <v>304138.11985644948</v>
      </c>
      <c r="I16" s="353">
        <f ca="1">tbl_Exh3.1[[#This Row],[Ultimate Allowed Claims]]-tbl_Exh3.1[[#This Row],[One-Time Adjustment for High Claims (Non-Predictive Claims)]]-tbl_Exh3.1[[#This Row],[One-Time Adjustment for HCRP Receipts]]-tbl_Exh3.1[[#This Row],[Non-EHB Allowed Claims]]</f>
        <v>30109673.865788497</v>
      </c>
      <c r="J16" s="325">
        <f ca="1">tbl_Exh3.1[[#This Row],[Predictive Ultimate Allowed EHB Claims]]/tbl_Exh3.1[[#This Row],[Member Months]]</f>
        <v>301.096738657885</v>
      </c>
      <c r="K16" s="242">
        <v>1</v>
      </c>
      <c r="L16" s="242">
        <v>1</v>
      </c>
      <c r="M16" s="242">
        <v>1</v>
      </c>
      <c r="N16" s="242">
        <v>1</v>
      </c>
      <c r="O16" s="242">
        <f>PRODUCT(tbl_Exh3.1[[#This Row],[Morbidity Adjustment]:[Other Adjustments]])</f>
        <v>1</v>
      </c>
      <c r="P16" s="242" cm="1">
        <f t="array" ref="P16">PRODUCT(IF(VALUE(RIGHT(tbl_Exh3.1[Incurred Date (YYYYMM)],2))=VALUE(RIGHT(tbl_Exh3.1[[#This Row],[Incurred Date (YYYYMM)]],2)),IF(VALUE(LEFT(tbl_Exh3.1[Incurred Date (YYYYMM)],4))&lt;=VALUE(LEFT(tbl_Exh3.1[[#This Row],[Incurred Date (YYYYMM)]],4)),tbl_Exh3.1[Combined Adjustment],1),1))</f>
        <v>1</v>
      </c>
      <c r="Q16" s="242">
        <f>INDEX(tbl_Exh3.1[Accumulated Adjustments],MATCH(VALUE(SUBSTITUTE(tbl_Exh3.1[[#This Row],[Incurred Date (YYYYMM)]],LEFT(tbl_Exh3.1[[#This Row],[Incurred Date (YYYYMM)]],4),ExperYear)),tbl_Exh3.1[Incurred Date (YYYYMM)],0))/tbl_Exh3.1[[#This Row],[Accumulated Adjustments]]</f>
        <v>1.0568908869465956</v>
      </c>
      <c r="R16" s="243">
        <f ca="1">tbl_Exh3.1[[#This Row],[Allowable Rating Adjustment Normalization Factor]]*tbl_Exh3.1[[#This Row],[Predictive Ultimate Allowed EHB Claims PMPM]]</f>
        <v>318.22639917685939</v>
      </c>
      <c r="S16" s="244"/>
      <c r="T16" s="245"/>
      <c r="U16" s="283"/>
      <c r="V16" s="283"/>
      <c r="W16" s="283"/>
      <c r="X16" s="248">
        <v>202207</v>
      </c>
      <c r="Y16" s="249">
        <f t="shared" si="4"/>
        <v>1</v>
      </c>
      <c r="Z16" s="249">
        <f t="shared" ca="1" si="1"/>
        <v>-1.4131731379908325E-3</v>
      </c>
      <c r="AA16" s="249">
        <f t="shared" ca="1" si="2"/>
        <v>0.99858682686200917</v>
      </c>
      <c r="AB16" s="250"/>
      <c r="AC16" s="250"/>
      <c r="AD16" s="250"/>
    </row>
    <row r="17" spans="1:30" s="238" customFormat="1" ht="15.75" x14ac:dyDescent="0.25">
      <c r="A17" s="239">
        <f t="shared" si="3"/>
        <v>202208</v>
      </c>
      <c r="B17" s="240">
        <v>100000</v>
      </c>
      <c r="C17" s="347">
        <f ca="1">tbl_Exh3.1[[#This Row],[Member Months]]*300*(AA17)*tbl_Exh3.1[[#This Row],[Accumulated Adjustments]]+tbl_Exh3.1[[#This Row],[One-Time Adjustment for High Claims (Non-Predictive Claims)]]+tbl_Exh3.1[[#This Row],[One-Time Adjustment for HCRP Receipts]]</f>
        <v>29994827.523234595</v>
      </c>
      <c r="D17" s="241">
        <f t="shared" si="0"/>
        <v>0.98499999999999999</v>
      </c>
      <c r="E17" s="353">
        <f ca="1">tbl_Exh3.1[[#This Row],[Allowed Claims 
(as of 3/31/2025)]]/tbl_Exh3.1[[#This Row],[Allowed Claims Completion factor (based on IBNP estimates)]]</f>
        <v>30451601.546431061</v>
      </c>
      <c r="F17" s="357"/>
      <c r="G17" s="357"/>
      <c r="H17" s="347">
        <f ca="1">0.01*tbl_Exh3.1[[#This Row],[Ultimate Allowed Claims]]</f>
        <v>304516.01546431059</v>
      </c>
      <c r="I17" s="353">
        <f ca="1">tbl_Exh3.1[[#This Row],[Ultimate Allowed Claims]]-tbl_Exh3.1[[#This Row],[One-Time Adjustment for High Claims (Non-Predictive Claims)]]-tbl_Exh3.1[[#This Row],[One-Time Adjustment for HCRP Receipts]]-tbl_Exh3.1[[#This Row],[Non-EHB Allowed Claims]]</f>
        <v>30147085.530966751</v>
      </c>
      <c r="J17" s="325">
        <f ca="1">tbl_Exh3.1[[#This Row],[Predictive Ultimate Allowed EHB Claims]]/tbl_Exh3.1[[#This Row],[Member Months]]</f>
        <v>301.47085530966751</v>
      </c>
      <c r="K17" s="242">
        <v>1</v>
      </c>
      <c r="L17" s="242">
        <v>1</v>
      </c>
      <c r="M17" s="242">
        <v>1</v>
      </c>
      <c r="N17" s="242">
        <v>1</v>
      </c>
      <c r="O17" s="242">
        <f>PRODUCT(tbl_Exh3.1[[#This Row],[Morbidity Adjustment]:[Other Adjustments]])</f>
        <v>1</v>
      </c>
      <c r="P17" s="242" cm="1">
        <f t="array" ref="P17">PRODUCT(IF(VALUE(RIGHT(tbl_Exh3.1[Incurred Date (YYYYMM)],2))=VALUE(RIGHT(tbl_Exh3.1[[#This Row],[Incurred Date (YYYYMM)]],2)),IF(VALUE(LEFT(tbl_Exh3.1[Incurred Date (YYYYMM)],4))&lt;=VALUE(LEFT(tbl_Exh3.1[[#This Row],[Incurred Date (YYYYMM)]],4)),tbl_Exh3.1[Combined Adjustment],1),1))</f>
        <v>1</v>
      </c>
      <c r="Q17" s="242">
        <f>INDEX(tbl_Exh3.1[Accumulated Adjustments],MATCH(VALUE(SUBSTITUTE(tbl_Exh3.1[[#This Row],[Incurred Date (YYYYMM)]],LEFT(tbl_Exh3.1[[#This Row],[Incurred Date (YYYYMM)]],4),ExperYear)),tbl_Exh3.1[Incurred Date (YYYYMM)],0))/tbl_Exh3.1[[#This Row],[Accumulated Adjustments]]</f>
        <v>1.0568908869465956</v>
      </c>
      <c r="R17" s="243">
        <f ca="1">tbl_Exh3.1[[#This Row],[Allowable Rating Adjustment Normalization Factor]]*tbl_Exh3.1[[#This Row],[Predictive Ultimate Allowed EHB Claims PMPM]]</f>
        <v>318.62179965678331</v>
      </c>
      <c r="S17" s="244"/>
      <c r="T17" s="245"/>
      <c r="U17" s="283"/>
      <c r="V17" s="283"/>
      <c r="W17" s="283"/>
      <c r="X17" s="248">
        <v>202208</v>
      </c>
      <c r="Y17" s="249">
        <f t="shared" si="4"/>
        <v>1</v>
      </c>
      <c r="Z17" s="249">
        <f t="shared" ca="1" si="1"/>
        <v>-1.7241589218018106E-4</v>
      </c>
      <c r="AA17" s="249">
        <f t="shared" ca="1" si="2"/>
        <v>0.9998275841078198</v>
      </c>
      <c r="AB17" s="250"/>
      <c r="AC17" s="250"/>
      <c r="AD17" s="250"/>
    </row>
    <row r="18" spans="1:30" s="238" customFormat="1" ht="15.75" x14ac:dyDescent="0.25">
      <c r="A18" s="239">
        <f t="shared" si="3"/>
        <v>202209</v>
      </c>
      <c r="B18" s="240">
        <v>100000</v>
      </c>
      <c r="C18" s="347">
        <f ca="1">tbl_Exh3.1[[#This Row],[Member Months]]*300*(AA18)*tbl_Exh3.1[[#This Row],[Accumulated Adjustments]]+tbl_Exh3.1[[#This Row],[One-Time Adjustment for High Claims (Non-Predictive Claims)]]+tbl_Exh3.1[[#This Row],[One-Time Adjustment for HCRP Receipts]]</f>
        <v>29946981.596477285</v>
      </c>
      <c r="D18" s="241">
        <f t="shared" si="0"/>
        <v>0.98499999999999999</v>
      </c>
      <c r="E18" s="353">
        <f ca="1">tbl_Exh3.1[[#This Row],[Allowed Claims 
(as of 3/31/2025)]]/tbl_Exh3.1[[#This Row],[Allowed Claims Completion factor (based on IBNP estimates)]]</f>
        <v>30403027.001499783</v>
      </c>
      <c r="F18" s="357"/>
      <c r="G18" s="357"/>
      <c r="H18" s="347">
        <f ca="1">0.01*tbl_Exh3.1[[#This Row],[Ultimate Allowed Claims]]</f>
        <v>304030.27001499786</v>
      </c>
      <c r="I18" s="353">
        <f ca="1">tbl_Exh3.1[[#This Row],[Ultimate Allowed Claims]]-tbl_Exh3.1[[#This Row],[One-Time Adjustment for High Claims (Non-Predictive Claims)]]-tbl_Exh3.1[[#This Row],[One-Time Adjustment for HCRP Receipts]]-tbl_Exh3.1[[#This Row],[Non-EHB Allowed Claims]]</f>
        <v>30098996.731484786</v>
      </c>
      <c r="J18" s="325">
        <f ca="1">tbl_Exh3.1[[#This Row],[Predictive Ultimate Allowed EHB Claims]]/tbl_Exh3.1[[#This Row],[Member Months]]</f>
        <v>300.98996731484783</v>
      </c>
      <c r="K18" s="242">
        <v>1</v>
      </c>
      <c r="L18" s="242">
        <v>1</v>
      </c>
      <c r="M18" s="242">
        <v>1</v>
      </c>
      <c r="N18" s="242">
        <v>1</v>
      </c>
      <c r="O18" s="242">
        <f>PRODUCT(tbl_Exh3.1[[#This Row],[Morbidity Adjustment]:[Other Adjustments]])</f>
        <v>1</v>
      </c>
      <c r="P18" s="242" cm="1">
        <f t="array" ref="P18">PRODUCT(IF(VALUE(RIGHT(tbl_Exh3.1[Incurred Date (YYYYMM)],2))=VALUE(RIGHT(tbl_Exh3.1[[#This Row],[Incurred Date (YYYYMM)]],2)),IF(VALUE(LEFT(tbl_Exh3.1[Incurred Date (YYYYMM)],4))&lt;=VALUE(LEFT(tbl_Exh3.1[[#This Row],[Incurred Date (YYYYMM)]],4)),tbl_Exh3.1[Combined Adjustment],1),1))</f>
        <v>1</v>
      </c>
      <c r="Q18" s="242">
        <f>INDEX(tbl_Exh3.1[Accumulated Adjustments],MATCH(VALUE(SUBSTITUTE(tbl_Exh3.1[[#This Row],[Incurred Date (YYYYMM)]],LEFT(tbl_Exh3.1[[#This Row],[Incurred Date (YYYYMM)]],4),ExperYear)),tbl_Exh3.1[Incurred Date (YYYYMM)],0))/tbl_Exh3.1[[#This Row],[Accumulated Adjustments]]</f>
        <v>1.0568908869465956</v>
      </c>
      <c r="R18" s="243">
        <f ca="1">tbl_Exh3.1[[#This Row],[Allowable Rating Adjustment Normalization Factor]]*tbl_Exh3.1[[#This Row],[Predictive Ultimate Allowed EHB Claims PMPM]]</f>
        <v>318.11355351741634</v>
      </c>
      <c r="S18" s="244"/>
      <c r="T18" s="245"/>
      <c r="U18" s="283"/>
      <c r="V18" s="283"/>
      <c r="W18" s="283"/>
      <c r="X18" s="248">
        <v>202209</v>
      </c>
      <c r="Y18" s="249">
        <f t="shared" si="4"/>
        <v>1</v>
      </c>
      <c r="Z18" s="249">
        <f t="shared" ca="1" si="1"/>
        <v>-1.7672801174238517E-3</v>
      </c>
      <c r="AA18" s="249">
        <f t="shared" ca="1" si="2"/>
        <v>0.99823271988257611</v>
      </c>
      <c r="AB18" s="250"/>
      <c r="AC18" s="250"/>
      <c r="AD18" s="250"/>
    </row>
    <row r="19" spans="1:30" s="238" customFormat="1" ht="15.75" x14ac:dyDescent="0.25">
      <c r="A19" s="239">
        <f t="shared" si="3"/>
        <v>202210</v>
      </c>
      <c r="B19" s="240">
        <v>100000</v>
      </c>
      <c r="C19" s="347">
        <f ca="1">tbl_Exh3.1[[#This Row],[Member Months]]*300*(AA19)*tbl_Exh3.1[[#This Row],[Accumulated Adjustments]]+tbl_Exh3.1[[#This Row],[One-Time Adjustment for High Claims (Non-Predictive Claims)]]+tbl_Exh3.1[[#This Row],[One-Time Adjustment for HCRP Receipts]]</f>
        <v>29991299.045594297</v>
      </c>
      <c r="D19" s="241">
        <f t="shared" si="0"/>
        <v>0.98499999999999999</v>
      </c>
      <c r="E19" s="353">
        <f ca="1">tbl_Exh3.1[[#This Row],[Allowed Claims 
(as of 3/31/2025)]]/tbl_Exh3.1[[#This Row],[Allowed Claims Completion factor (based on IBNP estimates)]]</f>
        <v>30448019.335628729</v>
      </c>
      <c r="F19" s="357"/>
      <c r="G19" s="357"/>
      <c r="H19" s="347">
        <f ca="1">0.01*tbl_Exh3.1[[#This Row],[Ultimate Allowed Claims]]</f>
        <v>304480.19335628732</v>
      </c>
      <c r="I19" s="353">
        <f ca="1">tbl_Exh3.1[[#This Row],[Ultimate Allowed Claims]]-tbl_Exh3.1[[#This Row],[One-Time Adjustment for High Claims (Non-Predictive Claims)]]-tbl_Exh3.1[[#This Row],[One-Time Adjustment for HCRP Receipts]]-tbl_Exh3.1[[#This Row],[Non-EHB Allowed Claims]]</f>
        <v>30143539.142272443</v>
      </c>
      <c r="J19" s="325">
        <f ca="1">tbl_Exh3.1[[#This Row],[Predictive Ultimate Allowed EHB Claims]]/tbl_Exh3.1[[#This Row],[Member Months]]</f>
        <v>301.43539142272442</v>
      </c>
      <c r="K19" s="242">
        <v>1</v>
      </c>
      <c r="L19" s="242">
        <v>1</v>
      </c>
      <c r="M19" s="242">
        <v>1</v>
      </c>
      <c r="N19" s="242">
        <v>1</v>
      </c>
      <c r="O19" s="242">
        <f>PRODUCT(tbl_Exh3.1[[#This Row],[Morbidity Adjustment]:[Other Adjustments]])</f>
        <v>1</v>
      </c>
      <c r="P19" s="242" cm="1">
        <f t="array" ref="P19">PRODUCT(IF(VALUE(RIGHT(tbl_Exh3.1[Incurred Date (YYYYMM)],2))=VALUE(RIGHT(tbl_Exh3.1[[#This Row],[Incurred Date (YYYYMM)]],2)),IF(VALUE(LEFT(tbl_Exh3.1[Incurred Date (YYYYMM)],4))&lt;=VALUE(LEFT(tbl_Exh3.1[[#This Row],[Incurred Date (YYYYMM)]],4)),tbl_Exh3.1[Combined Adjustment],1),1))</f>
        <v>1</v>
      </c>
      <c r="Q19" s="242">
        <f>INDEX(tbl_Exh3.1[Accumulated Adjustments],MATCH(VALUE(SUBSTITUTE(tbl_Exh3.1[[#This Row],[Incurred Date (YYYYMM)]],LEFT(tbl_Exh3.1[[#This Row],[Incurred Date (YYYYMM)]],4),ExperYear)),tbl_Exh3.1[Incurred Date (YYYYMM)],0))/tbl_Exh3.1[[#This Row],[Accumulated Adjustments]]</f>
        <v>1.0568908869465956</v>
      </c>
      <c r="R19" s="243">
        <f ca="1">tbl_Exh3.1[[#This Row],[Allowable Rating Adjustment Normalization Factor]]*tbl_Exh3.1[[#This Row],[Predictive Ultimate Allowed EHB Claims PMPM]]</f>
        <v>318.58431819785744</v>
      </c>
      <c r="S19" s="244"/>
      <c r="T19" s="245"/>
      <c r="U19" s="283"/>
      <c r="V19" s="283"/>
      <c r="W19" s="283"/>
      <c r="X19" s="248">
        <v>202210</v>
      </c>
      <c r="Y19" s="249">
        <f t="shared" si="4"/>
        <v>1</v>
      </c>
      <c r="Z19" s="249">
        <f t="shared" ca="1" si="1"/>
        <v>-2.9003181352335816E-4</v>
      </c>
      <c r="AA19" s="249">
        <f t="shared" ca="1" si="2"/>
        <v>0.99970996818647662</v>
      </c>
      <c r="AB19" s="250"/>
      <c r="AC19" s="250"/>
      <c r="AD19" s="250"/>
    </row>
    <row r="20" spans="1:30" s="238" customFormat="1" ht="15.75" x14ac:dyDescent="0.25">
      <c r="A20" s="239">
        <f t="shared" si="3"/>
        <v>202211</v>
      </c>
      <c r="B20" s="240">
        <v>100000</v>
      </c>
      <c r="C20" s="347">
        <f ca="1">tbl_Exh3.1[[#This Row],[Member Months]]*300*(AA20)*tbl_Exh3.1[[#This Row],[Accumulated Adjustments]]+tbl_Exh3.1[[#This Row],[One-Time Adjustment for High Claims (Non-Predictive Claims)]]+tbl_Exh3.1[[#This Row],[One-Time Adjustment for HCRP Receipts]]</f>
        <v>29940842.318979241</v>
      </c>
      <c r="D20" s="241">
        <f t="shared" si="0"/>
        <v>0.98499999999999999</v>
      </c>
      <c r="E20" s="353">
        <f ca="1">tbl_Exh3.1[[#This Row],[Allowed Claims 
(as of 3/31/2025)]]/tbl_Exh3.1[[#This Row],[Allowed Claims Completion factor (based on IBNP estimates)]]</f>
        <v>30396794.232466236</v>
      </c>
      <c r="F20" s="357"/>
      <c r="G20" s="357"/>
      <c r="H20" s="347">
        <f ca="1">0.01*tbl_Exh3.1[[#This Row],[Ultimate Allowed Claims]]</f>
        <v>303967.94232466235</v>
      </c>
      <c r="I20" s="353">
        <f ca="1">tbl_Exh3.1[[#This Row],[Ultimate Allowed Claims]]-tbl_Exh3.1[[#This Row],[One-Time Adjustment for High Claims (Non-Predictive Claims)]]-tbl_Exh3.1[[#This Row],[One-Time Adjustment for HCRP Receipts]]-tbl_Exh3.1[[#This Row],[Non-EHB Allowed Claims]]</f>
        <v>30092826.290141575</v>
      </c>
      <c r="J20" s="325">
        <f ca="1">tbl_Exh3.1[[#This Row],[Predictive Ultimate Allowed EHB Claims]]/tbl_Exh3.1[[#This Row],[Member Months]]</f>
        <v>300.92826290141574</v>
      </c>
      <c r="K20" s="242">
        <v>1</v>
      </c>
      <c r="L20" s="242">
        <v>1</v>
      </c>
      <c r="M20" s="242">
        <v>1</v>
      </c>
      <c r="N20" s="242">
        <v>1</v>
      </c>
      <c r="O20" s="242">
        <f>PRODUCT(tbl_Exh3.1[[#This Row],[Morbidity Adjustment]:[Other Adjustments]])</f>
        <v>1</v>
      </c>
      <c r="P20" s="242" cm="1">
        <f t="array" ref="P20">PRODUCT(IF(VALUE(RIGHT(tbl_Exh3.1[Incurred Date (YYYYMM)],2))=VALUE(RIGHT(tbl_Exh3.1[[#This Row],[Incurred Date (YYYYMM)]],2)),IF(VALUE(LEFT(tbl_Exh3.1[Incurred Date (YYYYMM)],4))&lt;=VALUE(LEFT(tbl_Exh3.1[[#This Row],[Incurred Date (YYYYMM)]],4)),tbl_Exh3.1[Combined Adjustment],1),1))</f>
        <v>1</v>
      </c>
      <c r="Q20" s="242">
        <f>INDEX(tbl_Exh3.1[Accumulated Adjustments],MATCH(VALUE(SUBSTITUTE(tbl_Exh3.1[[#This Row],[Incurred Date (YYYYMM)]],LEFT(tbl_Exh3.1[[#This Row],[Incurred Date (YYYYMM)]],4),ExperYear)),tbl_Exh3.1[Incurred Date (YYYYMM)],0))/tbl_Exh3.1[[#This Row],[Accumulated Adjustments]]</f>
        <v>1.0568908869465956</v>
      </c>
      <c r="R20" s="243">
        <f ca="1">tbl_Exh3.1[[#This Row],[Allowable Rating Adjustment Normalization Factor]]*tbl_Exh3.1[[#This Row],[Predictive Ultimate Allowed EHB Claims PMPM]]</f>
        <v>318.04833868517557</v>
      </c>
      <c r="S20" s="244"/>
      <c r="T20" s="245"/>
      <c r="U20" s="283"/>
      <c r="V20" s="283"/>
      <c r="W20" s="283"/>
      <c r="X20" s="248">
        <v>202211</v>
      </c>
      <c r="Y20" s="249">
        <f t="shared" si="4"/>
        <v>1</v>
      </c>
      <c r="Z20" s="249">
        <f t="shared" ca="1" si="1"/>
        <v>-1.9719227006920396E-3</v>
      </c>
      <c r="AA20" s="249">
        <f t="shared" ca="1" si="2"/>
        <v>0.99802807729930798</v>
      </c>
      <c r="AB20" s="250"/>
      <c r="AC20" s="250"/>
      <c r="AD20" s="250"/>
    </row>
    <row r="21" spans="1:30" s="238" customFormat="1" ht="16.5" thickBot="1" x14ac:dyDescent="0.3">
      <c r="A21" s="334">
        <f t="shared" si="3"/>
        <v>202212</v>
      </c>
      <c r="B21" s="335">
        <v>100000</v>
      </c>
      <c r="C21" s="348">
        <f ca="1">tbl_Exh3.1[[#This Row],[Member Months]]*300*(AA21)*tbl_Exh3.1[[#This Row],[Accumulated Adjustments]]+tbl_Exh3.1[[#This Row],[One-Time Adjustment for High Claims (Non-Predictive Claims)]]+tbl_Exh3.1[[#This Row],[One-Time Adjustment for HCRP Receipts]]</f>
        <v>29970073.240168486</v>
      </c>
      <c r="D21" s="336">
        <f t="shared" si="0"/>
        <v>0.98499999999999999</v>
      </c>
      <c r="E21" s="354">
        <f ca="1">tbl_Exh3.1[[#This Row],[Allowed Claims 
(as of 3/31/2025)]]/tbl_Exh3.1[[#This Row],[Allowed Claims Completion factor (based on IBNP estimates)]]</f>
        <v>30426470.294587296</v>
      </c>
      <c r="F21" s="358"/>
      <c r="G21" s="358"/>
      <c r="H21" s="348">
        <f ca="1">0.01*tbl_Exh3.1[[#This Row],[Ultimate Allowed Claims]]</f>
        <v>304264.70294587297</v>
      </c>
      <c r="I21" s="354">
        <f ca="1">tbl_Exh3.1[[#This Row],[Ultimate Allowed Claims]]-tbl_Exh3.1[[#This Row],[One-Time Adjustment for High Claims (Non-Predictive Claims)]]-tbl_Exh3.1[[#This Row],[One-Time Adjustment for HCRP Receipts]]-tbl_Exh3.1[[#This Row],[Non-EHB Allowed Claims]]</f>
        <v>30122205.591641422</v>
      </c>
      <c r="J21" s="337">
        <f ca="1">tbl_Exh3.1[[#This Row],[Predictive Ultimate Allowed EHB Claims]]/tbl_Exh3.1[[#This Row],[Member Months]]</f>
        <v>301.22205591641421</v>
      </c>
      <c r="K21" s="338">
        <v>1</v>
      </c>
      <c r="L21" s="338">
        <v>1</v>
      </c>
      <c r="M21" s="338">
        <v>1</v>
      </c>
      <c r="N21" s="338">
        <v>1</v>
      </c>
      <c r="O21" s="338">
        <f>PRODUCT(tbl_Exh3.1[[#This Row],[Morbidity Adjustment]:[Other Adjustments]])</f>
        <v>1</v>
      </c>
      <c r="P21" s="338" cm="1">
        <f t="array" ref="P21">PRODUCT(IF(VALUE(RIGHT(tbl_Exh3.1[Incurred Date (YYYYMM)],2))=VALUE(RIGHT(tbl_Exh3.1[[#This Row],[Incurred Date (YYYYMM)]],2)),IF(VALUE(LEFT(tbl_Exh3.1[Incurred Date (YYYYMM)],4))&lt;=VALUE(LEFT(tbl_Exh3.1[[#This Row],[Incurred Date (YYYYMM)]],4)),tbl_Exh3.1[Combined Adjustment],1),1))</f>
        <v>1</v>
      </c>
      <c r="Q21" s="338">
        <f>INDEX(tbl_Exh3.1[Accumulated Adjustments],MATCH(VALUE(SUBSTITUTE(tbl_Exh3.1[[#This Row],[Incurred Date (YYYYMM)]],LEFT(tbl_Exh3.1[[#This Row],[Incurred Date (YYYYMM)]],4),ExperYear)),tbl_Exh3.1[Incurred Date (YYYYMM)],0))/tbl_Exh3.1[[#This Row],[Accumulated Adjustments]]</f>
        <v>1.0568908869465956</v>
      </c>
      <c r="R21" s="339">
        <f ca="1">tbl_Exh3.1[[#This Row],[Allowable Rating Adjustment Normalization Factor]]*tbl_Exh3.1[[#This Row],[Predictive Ultimate Allowed EHB Claims PMPM]]</f>
        <v>318.35884584537604</v>
      </c>
      <c r="S21" s="340"/>
      <c r="T21" s="341"/>
      <c r="U21" s="283"/>
      <c r="V21" s="283"/>
      <c r="W21" s="283"/>
      <c r="X21" s="246">
        <v>202212</v>
      </c>
      <c r="Y21" s="247">
        <f>Y20</f>
        <v>1</v>
      </c>
      <c r="Z21" s="247">
        <f t="shared" ca="1" si="1"/>
        <v>-9.9755866105039623E-4</v>
      </c>
      <c r="AA21" s="247">
        <f t="shared" ca="1" si="2"/>
        <v>0.99900244133894955</v>
      </c>
      <c r="AB21" s="247">
        <f>AVERAGE(Y10:Y21)</f>
        <v>1</v>
      </c>
      <c r="AC21" s="247">
        <f t="shared" ref="AC21:AD22" ca="1" si="5">AVERAGE(Z10:Z21)</f>
        <v>-2.1305658574665605E-3</v>
      </c>
      <c r="AD21" s="247">
        <f ca="1">AVERAGE(AA10:AA21)</f>
        <v>0.99786943414253348</v>
      </c>
    </row>
    <row r="22" spans="1:30" s="238" customFormat="1" ht="15.75" x14ac:dyDescent="0.25">
      <c r="A22" s="233">
        <f t="shared" si="3"/>
        <v>202301</v>
      </c>
      <c r="B22" s="327">
        <v>100000</v>
      </c>
      <c r="C22" s="349">
        <f ca="1">tbl_Exh3.1[[#This Row],[Member Months]]*300*(AA22)*tbl_Exh3.1[[#This Row],[Accumulated Adjustments]]+tbl_Exh3.1[[#This Row],[One-Time Adjustment for High Claims (Non-Predictive Claims)]]+tbl_Exh3.1[[#This Row],[One-Time Adjustment for HCRP Receipts]]</f>
        <v>33447178.557981085</v>
      </c>
      <c r="D22" s="328">
        <f t="shared" si="0"/>
        <v>0.98499999999999999</v>
      </c>
      <c r="E22" s="355">
        <f ca="1">tbl_Exh3.1[[#This Row],[Allowed Claims 
(as of 3/31/2025)]]/tbl_Exh3.1[[#This Row],[Allowed Claims Completion factor (based on IBNP estimates)]]</f>
        <v>33956526.454803132</v>
      </c>
      <c r="F22" s="359"/>
      <c r="G22" s="359"/>
      <c r="H22" s="349">
        <f ca="1">0.01*tbl_Exh3.1[[#This Row],[Ultimate Allowed Claims]]</f>
        <v>339565.26454803132</v>
      </c>
      <c r="I22" s="355">
        <f ca="1">tbl_Exh3.1[[#This Row],[Ultimate Allowed Claims]]-tbl_Exh3.1[[#This Row],[One-Time Adjustment for High Claims (Non-Predictive Claims)]]-tbl_Exh3.1[[#This Row],[One-Time Adjustment for HCRP Receipts]]-tbl_Exh3.1[[#This Row],[Non-EHB Allowed Claims]]</f>
        <v>33616961.190255098</v>
      </c>
      <c r="J22" s="329">
        <f ca="1">tbl_Exh3.1[[#This Row],[Predictive Ultimate Allowed EHB Claims]]/tbl_Exh3.1[[#This Row],[Member Months]]</f>
        <v>336.16961190255097</v>
      </c>
      <c r="K22" s="328">
        <v>1.018</v>
      </c>
      <c r="L22" s="328">
        <v>1.0149999999999999</v>
      </c>
      <c r="M22" s="328">
        <v>0.99</v>
      </c>
      <c r="N22" s="328">
        <v>1.0049999999999999</v>
      </c>
      <c r="O22" s="330">
        <f>PRODUCT(tbl_Exh3.1[[#This Row],[Morbidity Adjustment]:[Other Adjustments]])</f>
        <v>1.0280519864999997</v>
      </c>
      <c r="P22" s="330" cm="1">
        <f t="array" ref="P22">PRODUCT(IF(VALUE(RIGHT(tbl_Exh3.1[Incurred Date (YYYYMM)],2))=VALUE(RIGHT(tbl_Exh3.1[[#This Row],[Incurred Date (YYYYMM)]],2)),IF(VALUE(LEFT(tbl_Exh3.1[Incurred Date (YYYYMM)],4))&lt;=VALUE(LEFT(tbl_Exh3.1[[#This Row],[Incurred Date (YYYYMM)]],4)),tbl_Exh3.1[Combined Adjustment],1),1))</f>
        <v>1.0280519864999997</v>
      </c>
      <c r="Q22" s="330">
        <f>INDEX(tbl_Exh3.1[Accumulated Adjustments],MATCH(VALUE(SUBSTITUTE(tbl_Exh3.1[[#This Row],[Incurred Date (YYYYMM)]],LEFT(tbl_Exh3.1[[#This Row],[Incurred Date (YYYYMM)]],4),ExperYear)),tbl_Exh3.1[Incurred Date (YYYYMM)],0))/tbl_Exh3.1[[#This Row],[Accumulated Adjustments]]</f>
        <v>1.0280519864999997</v>
      </c>
      <c r="R22" s="331">
        <f ca="1">tbl_Exh3.1[[#This Row],[Allowable Rating Adjustment Normalization Factor]]*tbl_Exh3.1[[#This Row],[Predictive Ultimate Allowed EHB Claims PMPM]]</f>
        <v>345.5998373173515</v>
      </c>
      <c r="S22" s="332"/>
      <c r="T22" s="333"/>
      <c r="U22" s="283"/>
      <c r="V22" s="283"/>
      <c r="W22" s="283"/>
      <c r="X22" s="246">
        <v>202301</v>
      </c>
      <c r="Y22" s="247">
        <f>1+$Y$8</f>
        <v>1.085</v>
      </c>
      <c r="Z22" s="247">
        <f t="shared" ca="1" si="1"/>
        <v>-5.1597917883794257E-4</v>
      </c>
      <c r="AA22" s="247">
        <f t="shared" ca="1" si="2"/>
        <v>1.0844840208211621</v>
      </c>
      <c r="AB22" s="247">
        <f>AVERAGE(Y11:Y22)</f>
        <v>1.0070833333333333</v>
      </c>
      <c r="AC22" s="247">
        <f t="shared" ca="1" si="5"/>
        <v>-1.8507562572713122E-3</v>
      </c>
      <c r="AD22" s="247">
        <f t="shared" ca="1" si="5"/>
        <v>1.0052325770760622</v>
      </c>
    </row>
    <row r="23" spans="1:30" s="238" customFormat="1" ht="15.75" x14ac:dyDescent="0.25">
      <c r="A23" s="239">
        <f t="shared" si="3"/>
        <v>202302</v>
      </c>
      <c r="B23" s="251">
        <v>100000</v>
      </c>
      <c r="C23" s="350">
        <f ca="1">tbl_Exh3.1[[#This Row],[Member Months]]*300*(AA23)*tbl_Exh3.1[[#This Row],[Accumulated Adjustments]]+tbl_Exh3.1[[#This Row],[One-Time Adjustment for High Claims (Non-Predictive Claims)]]+tbl_Exh3.1[[#This Row],[One-Time Adjustment for HCRP Receipts]]</f>
        <v>33323656.858244237</v>
      </c>
      <c r="D23" s="252">
        <f t="shared" si="0"/>
        <v>0.98499999999999999</v>
      </c>
      <c r="E23" s="353">
        <f ca="1">tbl_Exh3.1[[#This Row],[Allowed Claims 
(as of 3/31/2025)]]/tbl_Exh3.1[[#This Row],[Allowed Claims Completion factor (based on IBNP estimates)]]</f>
        <v>33831123.71395354</v>
      </c>
      <c r="F23" s="360"/>
      <c r="G23" s="360"/>
      <c r="H23" s="350">
        <f ca="1">0.01*tbl_Exh3.1[[#This Row],[Ultimate Allowed Claims]]</f>
        <v>338311.23713953543</v>
      </c>
      <c r="I23" s="353">
        <f ca="1">tbl_Exh3.1[[#This Row],[Ultimate Allowed Claims]]-tbl_Exh3.1[[#This Row],[One-Time Adjustment for High Claims (Non-Predictive Claims)]]-tbl_Exh3.1[[#This Row],[One-Time Adjustment for HCRP Receipts]]-tbl_Exh3.1[[#This Row],[Non-EHB Allowed Claims]]</f>
        <v>33492812.476814006</v>
      </c>
      <c r="J23" s="325">
        <f ca="1">tbl_Exh3.1[[#This Row],[Predictive Ultimate Allowed EHB Claims]]/tbl_Exh3.1[[#This Row],[Member Months]]</f>
        <v>334.92812476814004</v>
      </c>
      <c r="K23" s="242">
        <f>K22</f>
        <v>1.018</v>
      </c>
      <c r="L23" s="242">
        <f t="shared" ref="L23:N33" si="6">L22</f>
        <v>1.0149999999999999</v>
      </c>
      <c r="M23" s="242">
        <f t="shared" si="6"/>
        <v>0.99</v>
      </c>
      <c r="N23" s="242">
        <f t="shared" si="6"/>
        <v>1.0049999999999999</v>
      </c>
      <c r="O23" s="242">
        <f>PRODUCT(tbl_Exh3.1[[#This Row],[Morbidity Adjustment]:[Other Adjustments]])</f>
        <v>1.0280519864999997</v>
      </c>
      <c r="P23" s="242" cm="1">
        <f t="array" ref="P23">PRODUCT(IF(VALUE(RIGHT(tbl_Exh3.1[Incurred Date (YYYYMM)],2))=VALUE(RIGHT(tbl_Exh3.1[[#This Row],[Incurred Date (YYYYMM)]],2)),IF(VALUE(LEFT(tbl_Exh3.1[Incurred Date (YYYYMM)],4))&lt;=VALUE(LEFT(tbl_Exh3.1[[#This Row],[Incurred Date (YYYYMM)]],4)),tbl_Exh3.1[Combined Adjustment],1),1))</f>
        <v>1.0280519864999997</v>
      </c>
      <c r="Q23" s="242">
        <f>INDEX(tbl_Exh3.1[Accumulated Adjustments],MATCH(VALUE(SUBSTITUTE(tbl_Exh3.1[[#This Row],[Incurred Date (YYYYMM)]],LEFT(tbl_Exh3.1[[#This Row],[Incurred Date (YYYYMM)]],4),ExperYear)),tbl_Exh3.1[Incurred Date (YYYYMM)],0))/tbl_Exh3.1[[#This Row],[Accumulated Adjustments]]</f>
        <v>1.0280519864999997</v>
      </c>
      <c r="R23" s="243">
        <f ca="1">tbl_Exh3.1[[#This Row],[Allowable Rating Adjustment Normalization Factor]]*tbl_Exh3.1[[#This Row],[Predictive Ultimate Allowed EHB Claims PMPM]]</f>
        <v>344.32352400260612</v>
      </c>
      <c r="S23" s="244"/>
      <c r="T23" s="245"/>
      <c r="U23" s="283"/>
      <c r="V23" s="283"/>
      <c r="W23" s="283"/>
      <c r="X23" s="248">
        <v>202302</v>
      </c>
      <c r="Y23" s="249">
        <f>Y22</f>
        <v>1.085</v>
      </c>
      <c r="Z23" s="249">
        <f t="shared" ca="1" si="1"/>
        <v>-4.521019823957243E-3</v>
      </c>
      <c r="AA23" s="249">
        <f t="shared" ca="1" si="2"/>
        <v>1.0804789801760428</v>
      </c>
      <c r="AB23" s="253"/>
      <c r="AC23" s="250"/>
      <c r="AD23" s="250"/>
    </row>
    <row r="24" spans="1:30" s="238" customFormat="1" ht="15.75" x14ac:dyDescent="0.25">
      <c r="A24" s="239">
        <f t="shared" si="3"/>
        <v>202303</v>
      </c>
      <c r="B24" s="251">
        <v>100000</v>
      </c>
      <c r="C24" s="350">
        <f ca="1">tbl_Exh3.1[[#This Row],[Member Months]]*300*(AA24)*tbl_Exh3.1[[#This Row],[Accumulated Adjustments]]+tbl_Exh3.1[[#This Row],[One-Time Adjustment for High Claims (Non-Predictive Claims)]]+tbl_Exh3.1[[#This Row],[One-Time Adjustment for HCRP Receipts]]</f>
        <v>33403228.453660242</v>
      </c>
      <c r="D24" s="252">
        <f t="shared" si="0"/>
        <v>0.98499999999999999</v>
      </c>
      <c r="E24" s="353">
        <f ca="1">tbl_Exh3.1[[#This Row],[Allowed Claims 
(as of 3/31/2025)]]/tbl_Exh3.1[[#This Row],[Allowed Claims Completion factor (based on IBNP estimates)]]</f>
        <v>33911907.059553549</v>
      </c>
      <c r="F24" s="360"/>
      <c r="G24" s="360"/>
      <c r="H24" s="350">
        <f ca="1">0.01*tbl_Exh3.1[[#This Row],[Ultimate Allowed Claims]]</f>
        <v>339119.07059553551</v>
      </c>
      <c r="I24" s="353">
        <f ca="1">tbl_Exh3.1[[#This Row],[Ultimate Allowed Claims]]-tbl_Exh3.1[[#This Row],[One-Time Adjustment for High Claims (Non-Predictive Claims)]]-tbl_Exh3.1[[#This Row],[One-Time Adjustment for HCRP Receipts]]-tbl_Exh3.1[[#This Row],[Non-EHB Allowed Claims]]</f>
        <v>33572787.988958016</v>
      </c>
      <c r="J24" s="325">
        <f ca="1">tbl_Exh3.1[[#This Row],[Predictive Ultimate Allowed EHB Claims]]/tbl_Exh3.1[[#This Row],[Member Months]]</f>
        <v>335.72787988958015</v>
      </c>
      <c r="K24" s="242">
        <f t="shared" ref="K24:K33" si="7">K23</f>
        <v>1.018</v>
      </c>
      <c r="L24" s="242">
        <f t="shared" si="6"/>
        <v>1.0149999999999999</v>
      </c>
      <c r="M24" s="242">
        <f t="shared" si="6"/>
        <v>0.99</v>
      </c>
      <c r="N24" s="242">
        <f t="shared" si="6"/>
        <v>1.0049999999999999</v>
      </c>
      <c r="O24" s="242">
        <f>PRODUCT(tbl_Exh3.1[[#This Row],[Morbidity Adjustment]:[Other Adjustments]])</f>
        <v>1.0280519864999997</v>
      </c>
      <c r="P24" s="242" cm="1">
        <f t="array" ref="P24">PRODUCT(IF(VALUE(RIGHT(tbl_Exh3.1[Incurred Date (YYYYMM)],2))=VALUE(RIGHT(tbl_Exh3.1[[#This Row],[Incurred Date (YYYYMM)]],2)),IF(VALUE(LEFT(tbl_Exh3.1[Incurred Date (YYYYMM)],4))&lt;=VALUE(LEFT(tbl_Exh3.1[[#This Row],[Incurred Date (YYYYMM)]],4)),tbl_Exh3.1[Combined Adjustment],1),1))</f>
        <v>1.0280519864999997</v>
      </c>
      <c r="Q24" s="242">
        <f>INDEX(tbl_Exh3.1[Accumulated Adjustments],MATCH(VALUE(SUBSTITUTE(tbl_Exh3.1[[#This Row],[Incurred Date (YYYYMM)]],LEFT(tbl_Exh3.1[[#This Row],[Incurred Date (YYYYMM)]],4),ExperYear)),tbl_Exh3.1[Incurred Date (YYYYMM)],0))/tbl_Exh3.1[[#This Row],[Accumulated Adjustments]]</f>
        <v>1.0280519864999997</v>
      </c>
      <c r="R24" s="243">
        <f ca="1">tbl_Exh3.1[[#This Row],[Allowable Rating Adjustment Normalization Factor]]*tbl_Exh3.1[[#This Row],[Predictive Ultimate Allowed EHB Claims PMPM]]</f>
        <v>345.14571384391621</v>
      </c>
      <c r="S24" s="244"/>
      <c r="T24" s="245"/>
      <c r="U24" s="283"/>
      <c r="V24" s="283"/>
      <c r="W24" s="283"/>
      <c r="X24" s="248">
        <v>202303</v>
      </c>
      <c r="Y24" s="249">
        <f t="shared" ref="Y24:Y32" si="8">Y23</f>
        <v>1.085</v>
      </c>
      <c r="Z24" s="249">
        <f t="shared" ca="1" si="1"/>
        <v>-1.9410077733050947E-3</v>
      </c>
      <c r="AA24" s="249">
        <f t="shared" ca="1" si="2"/>
        <v>1.0830589922266949</v>
      </c>
      <c r="AB24" s="250"/>
      <c r="AC24" s="250"/>
      <c r="AD24" s="250"/>
    </row>
    <row r="25" spans="1:30" s="238" customFormat="1" ht="15.75" x14ac:dyDescent="0.25">
      <c r="A25" s="239">
        <f t="shared" si="3"/>
        <v>202304</v>
      </c>
      <c r="B25" s="251">
        <v>100000</v>
      </c>
      <c r="C25" s="350">
        <f ca="1">tbl_Exh3.1[[#This Row],[Member Months]]*300*(AA25)*tbl_Exh3.1[[#This Row],[Accumulated Adjustments]]+tbl_Exh3.1[[#This Row],[One-Time Adjustment for High Claims (Non-Predictive Claims)]]+tbl_Exh3.1[[#This Row],[One-Time Adjustment for HCRP Receipts]]</f>
        <v>33398528.887592401</v>
      </c>
      <c r="D25" s="252">
        <f t="shared" si="0"/>
        <v>0.98499999999999999</v>
      </c>
      <c r="E25" s="353">
        <f ca="1">tbl_Exh3.1[[#This Row],[Allowed Claims 
(as of 3/31/2025)]]/tbl_Exh3.1[[#This Row],[Allowed Claims Completion factor (based on IBNP estimates)]]</f>
        <v>33907135.926489748</v>
      </c>
      <c r="F25" s="360"/>
      <c r="G25" s="360"/>
      <c r="H25" s="350">
        <f ca="1">0.01*tbl_Exh3.1[[#This Row],[Ultimate Allowed Claims]]</f>
        <v>339071.35926489747</v>
      </c>
      <c r="I25" s="353">
        <f ca="1">tbl_Exh3.1[[#This Row],[Ultimate Allowed Claims]]-tbl_Exh3.1[[#This Row],[One-Time Adjustment for High Claims (Non-Predictive Claims)]]-tbl_Exh3.1[[#This Row],[One-Time Adjustment for HCRP Receipts]]-tbl_Exh3.1[[#This Row],[Non-EHB Allowed Claims]]</f>
        <v>33568064.567224853</v>
      </c>
      <c r="J25" s="325">
        <f ca="1">tbl_Exh3.1[[#This Row],[Predictive Ultimate Allowed EHB Claims]]/tbl_Exh3.1[[#This Row],[Member Months]]</f>
        <v>335.68064567224854</v>
      </c>
      <c r="K25" s="242">
        <f t="shared" si="7"/>
        <v>1.018</v>
      </c>
      <c r="L25" s="242">
        <f t="shared" si="6"/>
        <v>1.0149999999999999</v>
      </c>
      <c r="M25" s="242">
        <f t="shared" si="6"/>
        <v>0.99</v>
      </c>
      <c r="N25" s="242">
        <f t="shared" si="6"/>
        <v>1.0049999999999999</v>
      </c>
      <c r="O25" s="242">
        <f>PRODUCT(tbl_Exh3.1[[#This Row],[Morbidity Adjustment]:[Other Adjustments]])</f>
        <v>1.0280519864999997</v>
      </c>
      <c r="P25" s="242" cm="1">
        <f t="array" ref="P25">PRODUCT(IF(VALUE(RIGHT(tbl_Exh3.1[Incurred Date (YYYYMM)],2))=VALUE(RIGHT(tbl_Exh3.1[[#This Row],[Incurred Date (YYYYMM)]],2)),IF(VALUE(LEFT(tbl_Exh3.1[Incurred Date (YYYYMM)],4))&lt;=VALUE(LEFT(tbl_Exh3.1[[#This Row],[Incurred Date (YYYYMM)]],4)),tbl_Exh3.1[Combined Adjustment],1),1))</f>
        <v>1.0280519864999997</v>
      </c>
      <c r="Q25" s="242">
        <f>INDEX(tbl_Exh3.1[Accumulated Adjustments],MATCH(VALUE(SUBSTITUTE(tbl_Exh3.1[[#This Row],[Incurred Date (YYYYMM)]],LEFT(tbl_Exh3.1[[#This Row],[Incurred Date (YYYYMM)]],4),ExperYear)),tbl_Exh3.1[Incurred Date (YYYYMM)],0))/tbl_Exh3.1[[#This Row],[Accumulated Adjustments]]</f>
        <v>1.0280519864999997</v>
      </c>
      <c r="R25" s="243">
        <f ca="1">tbl_Exh3.1[[#This Row],[Allowable Rating Adjustment Normalization Factor]]*tbl_Exh3.1[[#This Row],[Predictive Ultimate Allowed EHB Claims PMPM]]</f>
        <v>345.09715461295764</v>
      </c>
      <c r="S25" s="244"/>
      <c r="T25" s="245"/>
      <c r="U25" s="283"/>
      <c r="V25" s="283"/>
      <c r="W25" s="283"/>
      <c r="X25" s="248">
        <v>202304</v>
      </c>
      <c r="Y25" s="249">
        <f t="shared" si="8"/>
        <v>1.085</v>
      </c>
      <c r="Z25" s="249">
        <f t="shared" ca="1" si="1"/>
        <v>-2.0933854782446432E-3</v>
      </c>
      <c r="AA25" s="249">
        <f t="shared" ca="1" si="2"/>
        <v>1.0829066145217554</v>
      </c>
      <c r="AB25" s="250"/>
      <c r="AC25" s="250"/>
      <c r="AD25" s="250"/>
    </row>
    <row r="26" spans="1:30" s="238" customFormat="1" ht="15.75" x14ac:dyDescent="0.25">
      <c r="A26" s="239">
        <f t="shared" si="3"/>
        <v>202305</v>
      </c>
      <c r="B26" s="251">
        <v>100000</v>
      </c>
      <c r="C26" s="350">
        <f ca="1">tbl_Exh3.1[[#This Row],[Member Months]]*300*(AA26)*tbl_Exh3.1[[#This Row],[Accumulated Adjustments]]+tbl_Exh3.1[[#This Row],[One-Time Adjustment for High Claims (Non-Predictive Claims)]]+tbl_Exh3.1[[#This Row],[One-Time Adjustment for HCRP Receipts]]</f>
        <v>34833279.739864416</v>
      </c>
      <c r="D26" s="252">
        <f t="shared" si="0"/>
        <v>0.98499999999999999</v>
      </c>
      <c r="E26" s="353">
        <f ca="1">tbl_Exh3.1[[#This Row],[Allowed Claims 
(as of 3/31/2025)]]/tbl_Exh3.1[[#This Row],[Allowed Claims Completion factor (based on IBNP estimates)]]</f>
        <v>35363735.776512101</v>
      </c>
      <c r="F26" s="360"/>
      <c r="G26" s="360">
        <v>1500000</v>
      </c>
      <c r="H26" s="350">
        <f ca="1">0.01*tbl_Exh3.1[[#This Row],[Ultimate Allowed Claims]]</f>
        <v>353637.35776512104</v>
      </c>
      <c r="I26" s="353">
        <f ca="1">tbl_Exh3.1[[#This Row],[Ultimate Allowed Claims]]-tbl_Exh3.1[[#This Row],[One-Time Adjustment for High Claims (Non-Predictive Claims)]]-tbl_Exh3.1[[#This Row],[One-Time Adjustment for HCRP Receipts]]-tbl_Exh3.1[[#This Row],[Non-EHB Allowed Claims]]</f>
        <v>33510098.418746982</v>
      </c>
      <c r="J26" s="325">
        <f ca="1">tbl_Exh3.1[[#This Row],[Predictive Ultimate Allowed EHB Claims]]/tbl_Exh3.1[[#This Row],[Member Months]]</f>
        <v>335.10098418746981</v>
      </c>
      <c r="K26" s="242">
        <f t="shared" si="7"/>
        <v>1.018</v>
      </c>
      <c r="L26" s="242">
        <f t="shared" si="6"/>
        <v>1.0149999999999999</v>
      </c>
      <c r="M26" s="242">
        <f t="shared" si="6"/>
        <v>0.99</v>
      </c>
      <c r="N26" s="242">
        <f t="shared" si="6"/>
        <v>1.0049999999999999</v>
      </c>
      <c r="O26" s="242">
        <f>PRODUCT(tbl_Exh3.1[[#This Row],[Morbidity Adjustment]:[Other Adjustments]])</f>
        <v>1.0280519864999997</v>
      </c>
      <c r="P26" s="242" cm="1">
        <f t="array" ref="P26">PRODUCT(IF(VALUE(RIGHT(tbl_Exh3.1[Incurred Date (YYYYMM)],2))=VALUE(RIGHT(tbl_Exh3.1[[#This Row],[Incurred Date (YYYYMM)]],2)),IF(VALUE(LEFT(tbl_Exh3.1[Incurred Date (YYYYMM)],4))&lt;=VALUE(LEFT(tbl_Exh3.1[[#This Row],[Incurred Date (YYYYMM)]],4)),tbl_Exh3.1[Combined Adjustment],1),1))</f>
        <v>1.0280519864999997</v>
      </c>
      <c r="Q26" s="242">
        <f>INDEX(tbl_Exh3.1[Accumulated Adjustments],MATCH(VALUE(SUBSTITUTE(tbl_Exh3.1[[#This Row],[Incurred Date (YYYYMM)]],LEFT(tbl_Exh3.1[[#This Row],[Incurred Date (YYYYMM)]],4),ExperYear)),tbl_Exh3.1[Incurred Date (YYYYMM)],0))/tbl_Exh3.1[[#This Row],[Accumulated Adjustments]]</f>
        <v>1.0280519864999997</v>
      </c>
      <c r="R26" s="243">
        <f ca="1">tbl_Exh3.1[[#This Row],[Allowable Rating Adjustment Normalization Factor]]*tbl_Exh3.1[[#This Row],[Predictive Ultimate Allowed EHB Claims PMPM]]</f>
        <v>344.50123247203334</v>
      </c>
      <c r="S26" s="244"/>
      <c r="T26" s="245"/>
      <c r="U26" s="283"/>
      <c r="V26" s="283"/>
      <c r="W26" s="283"/>
      <c r="X26" s="248">
        <v>202305</v>
      </c>
      <c r="Y26" s="249">
        <f t="shared" si="8"/>
        <v>1.085</v>
      </c>
      <c r="Z26" s="249">
        <f t="shared" ca="1" si="1"/>
        <v>-4.2090096096055038E-3</v>
      </c>
      <c r="AA26" s="249">
        <f t="shared" ca="1" si="2"/>
        <v>1.0807909903903945</v>
      </c>
      <c r="AB26" s="250"/>
      <c r="AC26" s="250"/>
      <c r="AD26" s="250"/>
    </row>
    <row r="27" spans="1:30" s="238" customFormat="1" ht="15.75" x14ac:dyDescent="0.25">
      <c r="A27" s="239">
        <f t="shared" si="3"/>
        <v>202306</v>
      </c>
      <c r="B27" s="251">
        <v>100000</v>
      </c>
      <c r="C27" s="350">
        <f ca="1">tbl_Exh3.1[[#This Row],[Member Months]]*300*(AA27)*tbl_Exh3.1[[#This Row],[Accumulated Adjustments]]+tbl_Exh3.1[[#This Row],[One-Time Adjustment for High Claims (Non-Predictive Claims)]]+tbl_Exh3.1[[#This Row],[One-Time Adjustment for HCRP Receipts]]</f>
        <v>33310529.096154083</v>
      </c>
      <c r="D27" s="252">
        <f t="shared" si="0"/>
        <v>0.98499999999999999</v>
      </c>
      <c r="E27" s="353">
        <f ca="1">tbl_Exh3.1[[#This Row],[Allowed Claims 
(as of 3/31/2025)]]/tbl_Exh3.1[[#This Row],[Allowed Claims Completion factor (based on IBNP estimates)]]</f>
        <v>33817796.036704652</v>
      </c>
      <c r="F27" s="360"/>
      <c r="G27" s="360"/>
      <c r="H27" s="350">
        <f ca="1">0.01*tbl_Exh3.1[[#This Row],[Ultimate Allowed Claims]]</f>
        <v>338177.96036704653</v>
      </c>
      <c r="I27" s="353">
        <f ca="1">tbl_Exh3.1[[#This Row],[Ultimate Allowed Claims]]-tbl_Exh3.1[[#This Row],[One-Time Adjustment for High Claims (Non-Predictive Claims)]]-tbl_Exh3.1[[#This Row],[One-Time Adjustment for HCRP Receipts]]-tbl_Exh3.1[[#This Row],[Non-EHB Allowed Claims]]</f>
        <v>33479618.076337606</v>
      </c>
      <c r="J27" s="325">
        <f ca="1">tbl_Exh3.1[[#This Row],[Predictive Ultimate Allowed EHB Claims]]/tbl_Exh3.1[[#This Row],[Member Months]]</f>
        <v>334.79618076337607</v>
      </c>
      <c r="K27" s="242">
        <f t="shared" si="7"/>
        <v>1.018</v>
      </c>
      <c r="L27" s="242">
        <f t="shared" si="6"/>
        <v>1.0149999999999999</v>
      </c>
      <c r="M27" s="242">
        <f t="shared" si="6"/>
        <v>0.99</v>
      </c>
      <c r="N27" s="242">
        <f t="shared" si="6"/>
        <v>1.0049999999999999</v>
      </c>
      <c r="O27" s="242">
        <f>PRODUCT(tbl_Exh3.1[[#This Row],[Morbidity Adjustment]:[Other Adjustments]])</f>
        <v>1.0280519864999997</v>
      </c>
      <c r="P27" s="242" cm="1">
        <f t="array" ref="P27">PRODUCT(IF(VALUE(RIGHT(tbl_Exh3.1[Incurred Date (YYYYMM)],2))=VALUE(RIGHT(tbl_Exh3.1[[#This Row],[Incurred Date (YYYYMM)]],2)),IF(VALUE(LEFT(tbl_Exh3.1[Incurred Date (YYYYMM)],4))&lt;=VALUE(LEFT(tbl_Exh3.1[[#This Row],[Incurred Date (YYYYMM)]],4)),tbl_Exh3.1[Combined Adjustment],1),1))</f>
        <v>1.0280519864999997</v>
      </c>
      <c r="Q27" s="242">
        <f>INDEX(tbl_Exh3.1[Accumulated Adjustments],MATCH(VALUE(SUBSTITUTE(tbl_Exh3.1[[#This Row],[Incurred Date (YYYYMM)]],LEFT(tbl_Exh3.1[[#This Row],[Incurred Date (YYYYMM)]],4),ExperYear)),tbl_Exh3.1[Incurred Date (YYYYMM)],0))/tbl_Exh3.1[[#This Row],[Accumulated Adjustments]]</f>
        <v>1.0280519864999997</v>
      </c>
      <c r="R27" s="243">
        <f ca="1">tbl_Exh3.1[[#This Row],[Allowable Rating Adjustment Normalization Factor]]*tbl_Exh3.1[[#This Row],[Predictive Ultimate Allowed EHB Claims PMPM]]</f>
        <v>344.18787870640176</v>
      </c>
      <c r="S27" s="244"/>
      <c r="T27" s="245"/>
      <c r="U27" s="283"/>
      <c r="V27" s="283"/>
      <c r="W27" s="283"/>
      <c r="X27" s="248">
        <v>202306</v>
      </c>
      <c r="Y27" s="249">
        <f t="shared" si="8"/>
        <v>1.085</v>
      </c>
      <c r="Z27" s="249">
        <f t="shared" ca="1" si="1"/>
        <v>-4.9466715180526743E-3</v>
      </c>
      <c r="AA27" s="249">
        <f t="shared" ca="1" si="2"/>
        <v>1.0800533284819474</v>
      </c>
      <c r="AB27" s="250"/>
      <c r="AC27" s="250"/>
      <c r="AD27" s="250"/>
    </row>
    <row r="28" spans="1:30" s="238" customFormat="1" ht="15.75" x14ac:dyDescent="0.25">
      <c r="A28" s="239">
        <f t="shared" si="3"/>
        <v>202307</v>
      </c>
      <c r="B28" s="251">
        <v>100000</v>
      </c>
      <c r="C28" s="350">
        <f ca="1">tbl_Exh3.1[[#This Row],[Member Months]]*300*(AA28)*tbl_Exh3.1[[#This Row],[Accumulated Adjustments]]+tbl_Exh3.1[[#This Row],[One-Time Adjustment for High Claims (Non-Predictive Claims)]]+tbl_Exh3.1[[#This Row],[One-Time Adjustment for HCRP Receipts]]</f>
        <v>33435503.317996379</v>
      </c>
      <c r="D28" s="252">
        <f t="shared" si="0"/>
        <v>0.98499999999999999</v>
      </c>
      <c r="E28" s="353">
        <f ca="1">tbl_Exh3.1[[#This Row],[Allowed Claims 
(as of 3/31/2025)]]/tbl_Exh3.1[[#This Row],[Allowed Claims Completion factor (based on IBNP estimates)]]</f>
        <v>33944673.419285662</v>
      </c>
      <c r="F28" s="360"/>
      <c r="G28" s="360"/>
      <c r="H28" s="350">
        <f ca="1">0.01*tbl_Exh3.1[[#This Row],[Ultimate Allowed Claims]]</f>
        <v>339446.73419285665</v>
      </c>
      <c r="I28" s="353">
        <f ca="1">tbl_Exh3.1[[#This Row],[Ultimate Allowed Claims]]-tbl_Exh3.1[[#This Row],[One-Time Adjustment for High Claims (Non-Predictive Claims)]]-tbl_Exh3.1[[#This Row],[One-Time Adjustment for HCRP Receipts]]-tbl_Exh3.1[[#This Row],[Non-EHB Allowed Claims]]</f>
        <v>33605226.685092807</v>
      </c>
      <c r="J28" s="325">
        <f ca="1">tbl_Exh3.1[[#This Row],[Predictive Ultimate Allowed EHB Claims]]/tbl_Exh3.1[[#This Row],[Member Months]]</f>
        <v>336.05226685092805</v>
      </c>
      <c r="K28" s="242">
        <f t="shared" si="7"/>
        <v>1.018</v>
      </c>
      <c r="L28" s="242">
        <f t="shared" si="6"/>
        <v>1.0149999999999999</v>
      </c>
      <c r="M28" s="242">
        <f t="shared" si="6"/>
        <v>0.99</v>
      </c>
      <c r="N28" s="242">
        <f t="shared" si="6"/>
        <v>1.0049999999999999</v>
      </c>
      <c r="O28" s="242">
        <f>PRODUCT(tbl_Exh3.1[[#This Row],[Morbidity Adjustment]:[Other Adjustments]])</f>
        <v>1.0280519864999997</v>
      </c>
      <c r="P28" s="242" cm="1">
        <f t="array" ref="P28">PRODUCT(IF(VALUE(RIGHT(tbl_Exh3.1[Incurred Date (YYYYMM)],2))=VALUE(RIGHT(tbl_Exh3.1[[#This Row],[Incurred Date (YYYYMM)]],2)),IF(VALUE(LEFT(tbl_Exh3.1[Incurred Date (YYYYMM)],4))&lt;=VALUE(LEFT(tbl_Exh3.1[[#This Row],[Incurred Date (YYYYMM)]],4)),tbl_Exh3.1[Combined Adjustment],1),1))</f>
        <v>1.0280519864999997</v>
      </c>
      <c r="Q28" s="242">
        <f>INDEX(tbl_Exh3.1[Accumulated Adjustments],MATCH(VALUE(SUBSTITUTE(tbl_Exh3.1[[#This Row],[Incurred Date (YYYYMM)]],LEFT(tbl_Exh3.1[[#This Row],[Incurred Date (YYYYMM)]],4),ExperYear)),tbl_Exh3.1[Incurred Date (YYYYMM)],0))/tbl_Exh3.1[[#This Row],[Accumulated Adjustments]]</f>
        <v>1.0280519864999997</v>
      </c>
      <c r="R28" s="243">
        <f ca="1">tbl_Exh3.1[[#This Row],[Allowable Rating Adjustment Normalization Factor]]*tbl_Exh3.1[[#This Row],[Predictive Ultimate Allowed EHB Claims PMPM]]</f>
        <v>345.47920050392457</v>
      </c>
      <c r="S28" s="244"/>
      <c r="T28" s="245"/>
      <c r="U28" s="283"/>
      <c r="V28" s="283"/>
      <c r="W28" s="283"/>
      <c r="X28" s="248">
        <v>202307</v>
      </c>
      <c r="Y28" s="249">
        <f t="shared" si="8"/>
        <v>1.085</v>
      </c>
      <c r="Z28" s="249">
        <f t="shared" ca="1" si="1"/>
        <v>-8.9453461306431285E-4</v>
      </c>
      <c r="AA28" s="249">
        <f t="shared" ca="1" si="2"/>
        <v>1.0841054653869358</v>
      </c>
      <c r="AB28" s="250"/>
      <c r="AC28" s="250"/>
      <c r="AD28" s="250"/>
    </row>
    <row r="29" spans="1:30" s="238" customFormat="1" ht="15.75" x14ac:dyDescent="0.25">
      <c r="A29" s="239">
        <f t="shared" si="3"/>
        <v>202308</v>
      </c>
      <c r="B29" s="251">
        <v>100000</v>
      </c>
      <c r="C29" s="350">
        <f ca="1">tbl_Exh3.1[[#This Row],[Member Months]]*300*(AA29)*tbl_Exh3.1[[#This Row],[Accumulated Adjustments]]+tbl_Exh3.1[[#This Row],[One-Time Adjustment for High Claims (Non-Predictive Claims)]]+tbl_Exh3.1[[#This Row],[One-Time Adjustment for HCRP Receipts]]</f>
        <v>33319449.450661838</v>
      </c>
      <c r="D29" s="252">
        <f t="shared" si="0"/>
        <v>0.98499999999999999</v>
      </c>
      <c r="E29" s="353">
        <f ca="1">tbl_Exh3.1[[#This Row],[Allowed Claims 
(as of 3/31/2025)]]/tbl_Exh3.1[[#This Row],[Allowed Claims Completion factor (based on IBNP estimates)]]</f>
        <v>33826852.234174453</v>
      </c>
      <c r="F29" s="360"/>
      <c r="G29" s="360"/>
      <c r="H29" s="350">
        <f ca="1">0.01*tbl_Exh3.1[[#This Row],[Ultimate Allowed Claims]]</f>
        <v>338268.52234174451</v>
      </c>
      <c r="I29" s="353">
        <f ca="1">tbl_Exh3.1[[#This Row],[Ultimate Allowed Claims]]-tbl_Exh3.1[[#This Row],[One-Time Adjustment for High Claims (Non-Predictive Claims)]]-tbl_Exh3.1[[#This Row],[One-Time Adjustment for HCRP Receipts]]-tbl_Exh3.1[[#This Row],[Non-EHB Allowed Claims]]</f>
        <v>33488583.71183271</v>
      </c>
      <c r="J29" s="325">
        <f ca="1">tbl_Exh3.1[[#This Row],[Predictive Ultimate Allowed EHB Claims]]/tbl_Exh3.1[[#This Row],[Member Months]]</f>
        <v>334.88583711832712</v>
      </c>
      <c r="K29" s="242">
        <f t="shared" si="7"/>
        <v>1.018</v>
      </c>
      <c r="L29" s="242">
        <f t="shared" si="6"/>
        <v>1.0149999999999999</v>
      </c>
      <c r="M29" s="242">
        <f t="shared" si="6"/>
        <v>0.99</v>
      </c>
      <c r="N29" s="242">
        <f t="shared" si="6"/>
        <v>1.0049999999999999</v>
      </c>
      <c r="O29" s="242">
        <f>PRODUCT(tbl_Exh3.1[[#This Row],[Morbidity Adjustment]:[Other Adjustments]])</f>
        <v>1.0280519864999997</v>
      </c>
      <c r="P29" s="242" cm="1">
        <f t="array" ref="P29">PRODUCT(IF(VALUE(RIGHT(tbl_Exh3.1[Incurred Date (YYYYMM)],2))=VALUE(RIGHT(tbl_Exh3.1[[#This Row],[Incurred Date (YYYYMM)]],2)),IF(VALUE(LEFT(tbl_Exh3.1[Incurred Date (YYYYMM)],4))&lt;=VALUE(LEFT(tbl_Exh3.1[[#This Row],[Incurred Date (YYYYMM)]],4)),tbl_Exh3.1[Combined Adjustment],1),1))</f>
        <v>1.0280519864999997</v>
      </c>
      <c r="Q29" s="242">
        <f>INDEX(tbl_Exh3.1[Accumulated Adjustments],MATCH(VALUE(SUBSTITUTE(tbl_Exh3.1[[#This Row],[Incurred Date (YYYYMM)]],LEFT(tbl_Exh3.1[[#This Row],[Incurred Date (YYYYMM)]],4),ExperYear)),tbl_Exh3.1[Incurred Date (YYYYMM)],0))/tbl_Exh3.1[[#This Row],[Accumulated Adjustments]]</f>
        <v>1.0280519864999997</v>
      </c>
      <c r="R29" s="243">
        <f ca="1">tbl_Exh3.1[[#This Row],[Allowable Rating Adjustment Normalization Factor]]*tbl_Exh3.1[[#This Row],[Predictive Ultimate Allowed EHB Claims PMPM]]</f>
        <v>344.28005010021155</v>
      </c>
      <c r="S29" s="244"/>
      <c r="T29" s="245"/>
      <c r="U29" s="283"/>
      <c r="V29" s="283"/>
      <c r="W29" s="283"/>
      <c r="X29" s="248">
        <v>202308</v>
      </c>
      <c r="Y29" s="249">
        <f t="shared" si="8"/>
        <v>1.085</v>
      </c>
      <c r="Z29" s="249">
        <f t="shared" ca="1" si="1"/>
        <v>-4.6574398895325997E-3</v>
      </c>
      <c r="AA29" s="249">
        <f t="shared" ca="1" si="2"/>
        <v>1.0803425601104673</v>
      </c>
      <c r="AB29" s="250"/>
      <c r="AC29" s="250"/>
      <c r="AD29" s="250"/>
    </row>
    <row r="30" spans="1:30" s="238" customFormat="1" ht="15.75" x14ac:dyDescent="0.25">
      <c r="A30" s="239">
        <f t="shared" si="3"/>
        <v>202309</v>
      </c>
      <c r="B30" s="251">
        <v>100000</v>
      </c>
      <c r="C30" s="350">
        <f ca="1">tbl_Exh3.1[[#This Row],[Member Months]]*300*(AA30)*tbl_Exh3.1[[#This Row],[Accumulated Adjustments]]+tbl_Exh3.1[[#This Row],[One-Time Adjustment for High Claims (Non-Predictive Claims)]]+tbl_Exh3.1[[#This Row],[One-Time Adjustment for HCRP Receipts]]</f>
        <v>33425133.977237057</v>
      </c>
      <c r="D30" s="252">
        <f t="shared" si="0"/>
        <v>0.98499999999999999</v>
      </c>
      <c r="E30" s="353">
        <f ca="1">tbl_Exh3.1[[#This Row],[Allowed Claims 
(as of 3/31/2025)]]/tbl_Exh3.1[[#This Row],[Allowed Claims Completion factor (based on IBNP estimates)]]</f>
        <v>33934146.169783816</v>
      </c>
      <c r="F30" s="360"/>
      <c r="G30" s="360"/>
      <c r="H30" s="350">
        <f ca="1">0.01*tbl_Exh3.1[[#This Row],[Ultimate Allowed Claims]]</f>
        <v>339341.46169783815</v>
      </c>
      <c r="I30" s="353">
        <f ca="1">tbl_Exh3.1[[#This Row],[Ultimate Allowed Claims]]-tbl_Exh3.1[[#This Row],[One-Time Adjustment for High Claims (Non-Predictive Claims)]]-tbl_Exh3.1[[#This Row],[One-Time Adjustment for HCRP Receipts]]-tbl_Exh3.1[[#This Row],[Non-EHB Allowed Claims]]</f>
        <v>33594804.708085977</v>
      </c>
      <c r="J30" s="325">
        <f ca="1">tbl_Exh3.1[[#This Row],[Predictive Ultimate Allowed EHB Claims]]/tbl_Exh3.1[[#This Row],[Member Months]]</f>
        <v>335.94804708085974</v>
      </c>
      <c r="K30" s="242">
        <f t="shared" si="7"/>
        <v>1.018</v>
      </c>
      <c r="L30" s="242">
        <f t="shared" si="6"/>
        <v>1.0149999999999999</v>
      </c>
      <c r="M30" s="242">
        <f t="shared" si="6"/>
        <v>0.99</v>
      </c>
      <c r="N30" s="242">
        <f t="shared" si="6"/>
        <v>1.0049999999999999</v>
      </c>
      <c r="O30" s="242">
        <f>PRODUCT(tbl_Exh3.1[[#This Row],[Morbidity Adjustment]:[Other Adjustments]])</f>
        <v>1.0280519864999997</v>
      </c>
      <c r="P30" s="242" cm="1">
        <f t="array" ref="P30">PRODUCT(IF(VALUE(RIGHT(tbl_Exh3.1[Incurred Date (YYYYMM)],2))=VALUE(RIGHT(tbl_Exh3.1[[#This Row],[Incurred Date (YYYYMM)]],2)),IF(VALUE(LEFT(tbl_Exh3.1[Incurred Date (YYYYMM)],4))&lt;=VALUE(LEFT(tbl_Exh3.1[[#This Row],[Incurred Date (YYYYMM)]],4)),tbl_Exh3.1[Combined Adjustment],1),1))</f>
        <v>1.0280519864999997</v>
      </c>
      <c r="Q30" s="242">
        <f>INDEX(tbl_Exh3.1[Accumulated Adjustments],MATCH(VALUE(SUBSTITUTE(tbl_Exh3.1[[#This Row],[Incurred Date (YYYYMM)]],LEFT(tbl_Exh3.1[[#This Row],[Incurred Date (YYYYMM)]],4),ExperYear)),tbl_Exh3.1[Incurred Date (YYYYMM)],0))/tbl_Exh3.1[[#This Row],[Accumulated Adjustments]]</f>
        <v>1.0280519864999997</v>
      </c>
      <c r="R30" s="243">
        <f ca="1">tbl_Exh3.1[[#This Row],[Allowable Rating Adjustment Normalization Factor]]*tbl_Exh3.1[[#This Row],[Predictive Ultimate Allowed EHB Claims PMPM]]</f>
        <v>345.37205716227328</v>
      </c>
      <c r="S30" s="244"/>
      <c r="T30" s="245"/>
      <c r="U30" s="283"/>
      <c r="V30" s="283"/>
      <c r="W30" s="283"/>
      <c r="X30" s="248">
        <v>202309</v>
      </c>
      <c r="Y30" s="249">
        <f t="shared" si="8"/>
        <v>1.085</v>
      </c>
      <c r="Z30" s="249">
        <f t="shared" ca="1" si="1"/>
        <v>-1.2307478556979935E-3</v>
      </c>
      <c r="AA30" s="249">
        <f t="shared" ca="1" si="2"/>
        <v>1.0837692521443019</v>
      </c>
      <c r="AB30" s="250"/>
      <c r="AC30" s="250"/>
      <c r="AD30" s="250"/>
    </row>
    <row r="31" spans="1:30" s="238" customFormat="1" ht="15.75" x14ac:dyDescent="0.25">
      <c r="A31" s="239">
        <f t="shared" si="3"/>
        <v>202310</v>
      </c>
      <c r="B31" s="251">
        <v>100000</v>
      </c>
      <c r="C31" s="350">
        <f ca="1">tbl_Exh3.1[[#This Row],[Member Months]]*300*(AA31)*tbl_Exh3.1[[#This Row],[Accumulated Adjustments]]+tbl_Exh3.1[[#This Row],[One-Time Adjustment for High Claims (Non-Predictive Claims)]]+tbl_Exh3.1[[#This Row],[One-Time Adjustment for HCRP Receipts]]</f>
        <v>33328534.772636421</v>
      </c>
      <c r="D31" s="252">
        <f t="shared" si="0"/>
        <v>0.98499999999999999</v>
      </c>
      <c r="E31" s="353">
        <f ca="1">tbl_Exh3.1[[#This Row],[Allowed Claims 
(as of 3/31/2025)]]/tbl_Exh3.1[[#This Row],[Allowed Claims Completion factor (based on IBNP estimates)]]</f>
        <v>33836075.911306009</v>
      </c>
      <c r="F31" s="360"/>
      <c r="G31" s="360"/>
      <c r="H31" s="350">
        <f ca="1">0.01*tbl_Exh3.1[[#This Row],[Ultimate Allowed Claims]]</f>
        <v>338360.75911306008</v>
      </c>
      <c r="I31" s="353">
        <f ca="1">tbl_Exh3.1[[#This Row],[Ultimate Allowed Claims]]-tbl_Exh3.1[[#This Row],[One-Time Adjustment for High Claims (Non-Predictive Claims)]]-tbl_Exh3.1[[#This Row],[One-Time Adjustment for HCRP Receipts]]-tbl_Exh3.1[[#This Row],[Non-EHB Allowed Claims]]</f>
        <v>33497715.15219295</v>
      </c>
      <c r="J31" s="325">
        <f ca="1">tbl_Exh3.1[[#This Row],[Predictive Ultimate Allowed EHB Claims]]/tbl_Exh3.1[[#This Row],[Member Months]]</f>
        <v>334.9771515219295</v>
      </c>
      <c r="K31" s="242">
        <f t="shared" si="7"/>
        <v>1.018</v>
      </c>
      <c r="L31" s="242">
        <f t="shared" si="6"/>
        <v>1.0149999999999999</v>
      </c>
      <c r="M31" s="242">
        <f t="shared" si="6"/>
        <v>0.99</v>
      </c>
      <c r="N31" s="242">
        <f t="shared" si="6"/>
        <v>1.0049999999999999</v>
      </c>
      <c r="O31" s="242">
        <f>PRODUCT(tbl_Exh3.1[[#This Row],[Morbidity Adjustment]:[Other Adjustments]])</f>
        <v>1.0280519864999997</v>
      </c>
      <c r="P31" s="242" cm="1">
        <f t="array" ref="P31">PRODUCT(IF(VALUE(RIGHT(tbl_Exh3.1[Incurred Date (YYYYMM)],2))=VALUE(RIGHT(tbl_Exh3.1[[#This Row],[Incurred Date (YYYYMM)]],2)),IF(VALUE(LEFT(tbl_Exh3.1[Incurred Date (YYYYMM)],4))&lt;=VALUE(LEFT(tbl_Exh3.1[[#This Row],[Incurred Date (YYYYMM)]],4)),tbl_Exh3.1[Combined Adjustment],1),1))</f>
        <v>1.0280519864999997</v>
      </c>
      <c r="Q31" s="242">
        <f>INDEX(tbl_Exh3.1[Accumulated Adjustments],MATCH(VALUE(SUBSTITUTE(tbl_Exh3.1[[#This Row],[Incurred Date (YYYYMM)]],LEFT(tbl_Exh3.1[[#This Row],[Incurred Date (YYYYMM)]],4),ExperYear)),tbl_Exh3.1[Incurred Date (YYYYMM)],0))/tbl_Exh3.1[[#This Row],[Accumulated Adjustments]]</f>
        <v>1.0280519864999997</v>
      </c>
      <c r="R31" s="243">
        <f ca="1">tbl_Exh3.1[[#This Row],[Allowable Rating Adjustment Normalization Factor]]*tbl_Exh3.1[[#This Row],[Predictive Ultimate Allowed EHB Claims PMPM]]</f>
        <v>344.37392605423105</v>
      </c>
      <c r="S31" s="244"/>
      <c r="T31" s="245"/>
      <c r="U31" s="283"/>
      <c r="V31" s="283"/>
      <c r="W31" s="283"/>
      <c r="X31" s="248">
        <v>202310</v>
      </c>
      <c r="Y31" s="249">
        <f t="shared" si="8"/>
        <v>1.085</v>
      </c>
      <c r="Z31" s="249">
        <f t="shared" ca="1" si="1"/>
        <v>-4.3628593918572994E-3</v>
      </c>
      <c r="AA31" s="249">
        <f t="shared" ca="1" si="2"/>
        <v>1.0806371406081428</v>
      </c>
      <c r="AB31" s="250"/>
      <c r="AC31" s="250"/>
      <c r="AD31" s="250"/>
    </row>
    <row r="32" spans="1:30" s="238" customFormat="1" ht="15.75" x14ac:dyDescent="0.25">
      <c r="A32" s="239">
        <f t="shared" si="3"/>
        <v>202311</v>
      </c>
      <c r="B32" s="251">
        <v>100000</v>
      </c>
      <c r="C32" s="350">
        <f ca="1">tbl_Exh3.1[[#This Row],[Member Months]]*300*(AA32)*tbl_Exh3.1[[#This Row],[Accumulated Adjustments]]+tbl_Exh3.1[[#This Row],[One-Time Adjustment for High Claims (Non-Predictive Claims)]]+tbl_Exh3.1[[#This Row],[One-Time Adjustment for HCRP Receipts]]</f>
        <v>33551478.510742664</v>
      </c>
      <c r="D32" s="252">
        <f t="shared" si="0"/>
        <v>0.98499999999999999</v>
      </c>
      <c r="E32" s="353">
        <f ca="1">tbl_Exh3.1[[#This Row],[Allowed Claims 
(as of 3/31/2025)]]/tbl_Exh3.1[[#This Row],[Allowed Claims Completion factor (based on IBNP estimates)]]</f>
        <v>34062414.731718443</v>
      </c>
      <c r="F32" s="360">
        <v>100000</v>
      </c>
      <c r="G32" s="360"/>
      <c r="H32" s="350">
        <f ca="1">0.01*tbl_Exh3.1[[#This Row],[Ultimate Allowed Claims]]</f>
        <v>340624.14731718443</v>
      </c>
      <c r="I32" s="353">
        <f ca="1">tbl_Exh3.1[[#This Row],[Ultimate Allowed Claims]]-tbl_Exh3.1[[#This Row],[One-Time Adjustment for High Claims (Non-Predictive Claims)]]-tbl_Exh3.1[[#This Row],[One-Time Adjustment for HCRP Receipts]]-tbl_Exh3.1[[#This Row],[Non-EHB Allowed Claims]]</f>
        <v>33621790.584401257</v>
      </c>
      <c r="J32" s="325">
        <f ca="1">tbl_Exh3.1[[#This Row],[Predictive Ultimate Allowed EHB Claims]]/tbl_Exh3.1[[#This Row],[Member Months]]</f>
        <v>336.21790584401259</v>
      </c>
      <c r="K32" s="242">
        <f t="shared" si="7"/>
        <v>1.018</v>
      </c>
      <c r="L32" s="242">
        <f t="shared" si="6"/>
        <v>1.0149999999999999</v>
      </c>
      <c r="M32" s="242">
        <f t="shared" si="6"/>
        <v>0.99</v>
      </c>
      <c r="N32" s="242">
        <f t="shared" si="6"/>
        <v>1.0049999999999999</v>
      </c>
      <c r="O32" s="242">
        <f>PRODUCT(tbl_Exh3.1[[#This Row],[Morbidity Adjustment]:[Other Adjustments]])</f>
        <v>1.0280519864999997</v>
      </c>
      <c r="P32" s="242" cm="1">
        <f t="array" ref="P32">PRODUCT(IF(VALUE(RIGHT(tbl_Exh3.1[Incurred Date (YYYYMM)],2))=VALUE(RIGHT(tbl_Exh3.1[[#This Row],[Incurred Date (YYYYMM)]],2)),IF(VALUE(LEFT(tbl_Exh3.1[Incurred Date (YYYYMM)],4))&lt;=VALUE(LEFT(tbl_Exh3.1[[#This Row],[Incurred Date (YYYYMM)]],4)),tbl_Exh3.1[Combined Adjustment],1),1))</f>
        <v>1.0280519864999997</v>
      </c>
      <c r="Q32" s="242">
        <f>INDEX(tbl_Exh3.1[Accumulated Adjustments],MATCH(VALUE(SUBSTITUTE(tbl_Exh3.1[[#This Row],[Incurred Date (YYYYMM)]],LEFT(tbl_Exh3.1[[#This Row],[Incurred Date (YYYYMM)]],4),ExperYear)),tbl_Exh3.1[Incurred Date (YYYYMM)],0))/tbl_Exh3.1[[#This Row],[Accumulated Adjustments]]</f>
        <v>1.0280519864999997</v>
      </c>
      <c r="R32" s="243">
        <f ca="1">tbl_Exh3.1[[#This Row],[Allowable Rating Adjustment Normalization Factor]]*tbl_Exh3.1[[#This Row],[Predictive Ultimate Allowed EHB Claims PMPM]]</f>
        <v>345.64948599980704</v>
      </c>
      <c r="S32" s="254"/>
      <c r="T32" s="245"/>
      <c r="U32" s="283"/>
      <c r="V32" s="283"/>
      <c r="W32" s="283"/>
      <c r="X32" s="248">
        <v>202311</v>
      </c>
      <c r="Y32" s="249">
        <f t="shared" si="8"/>
        <v>1.085</v>
      </c>
      <c r="Z32" s="249">
        <f t="shared" ca="1" si="1"/>
        <v>-3.7655844856191334E-4</v>
      </c>
      <c r="AA32" s="249">
        <f t="shared" ca="1" si="2"/>
        <v>1.084623441551438</v>
      </c>
      <c r="AB32" s="250"/>
      <c r="AC32" s="250"/>
      <c r="AD32" s="250"/>
    </row>
    <row r="33" spans="1:30" s="238" customFormat="1" ht="16.5" thickBot="1" x14ac:dyDescent="0.3">
      <c r="A33" s="334">
        <f t="shared" si="3"/>
        <v>202312</v>
      </c>
      <c r="B33" s="345">
        <v>100000</v>
      </c>
      <c r="C33" s="351">
        <f ca="1">tbl_Exh3.1[[#This Row],[Member Months]]*300*(AA33)*tbl_Exh3.1[[#This Row],[Accumulated Adjustments]]+tbl_Exh3.1[[#This Row],[One-Time Adjustment for High Claims (Non-Predictive Claims)]]+tbl_Exh3.1[[#This Row],[One-Time Adjustment for HCRP Receipts]]</f>
        <v>33316154.710560806</v>
      </c>
      <c r="D33" s="346">
        <f t="shared" si="0"/>
        <v>0.98499999999999999</v>
      </c>
      <c r="E33" s="354">
        <f ca="1">tbl_Exh3.1[[#This Row],[Allowed Claims 
(as of 3/31/2025)]]/tbl_Exh3.1[[#This Row],[Allowed Claims Completion factor (based on IBNP estimates)]]</f>
        <v>33823507.320366301</v>
      </c>
      <c r="F33" s="361"/>
      <c r="G33" s="361"/>
      <c r="H33" s="351">
        <f ca="1">0.01*tbl_Exh3.1[[#This Row],[Ultimate Allowed Claims]]</f>
        <v>338235.07320366299</v>
      </c>
      <c r="I33" s="354">
        <f ca="1">tbl_Exh3.1[[#This Row],[Ultimate Allowed Claims]]-tbl_Exh3.1[[#This Row],[One-Time Adjustment for High Claims (Non-Predictive Claims)]]-tbl_Exh3.1[[#This Row],[One-Time Adjustment for HCRP Receipts]]-tbl_Exh3.1[[#This Row],[Non-EHB Allowed Claims]]</f>
        <v>33485272.247162636</v>
      </c>
      <c r="J33" s="337">
        <f ca="1">tbl_Exh3.1[[#This Row],[Predictive Ultimate Allowed EHB Claims]]/tbl_Exh3.1[[#This Row],[Member Months]]</f>
        <v>334.85272247162635</v>
      </c>
      <c r="K33" s="338">
        <f t="shared" si="7"/>
        <v>1.018</v>
      </c>
      <c r="L33" s="338">
        <f t="shared" si="6"/>
        <v>1.0149999999999999</v>
      </c>
      <c r="M33" s="338">
        <f t="shared" si="6"/>
        <v>0.99</v>
      </c>
      <c r="N33" s="338">
        <f t="shared" si="6"/>
        <v>1.0049999999999999</v>
      </c>
      <c r="O33" s="338">
        <f>PRODUCT(tbl_Exh3.1[[#This Row],[Morbidity Adjustment]:[Other Adjustments]])</f>
        <v>1.0280519864999997</v>
      </c>
      <c r="P33" s="338" cm="1">
        <f t="array" ref="P33">PRODUCT(IF(VALUE(RIGHT(tbl_Exh3.1[Incurred Date (YYYYMM)],2))=VALUE(RIGHT(tbl_Exh3.1[[#This Row],[Incurred Date (YYYYMM)]],2)),IF(VALUE(LEFT(tbl_Exh3.1[Incurred Date (YYYYMM)],4))&lt;=VALUE(LEFT(tbl_Exh3.1[[#This Row],[Incurred Date (YYYYMM)]],4)),tbl_Exh3.1[Combined Adjustment],1),1))</f>
        <v>1.0280519864999997</v>
      </c>
      <c r="Q33" s="338">
        <f>INDEX(tbl_Exh3.1[Accumulated Adjustments],MATCH(VALUE(SUBSTITUTE(tbl_Exh3.1[[#This Row],[Incurred Date (YYYYMM)]],LEFT(tbl_Exh3.1[[#This Row],[Incurred Date (YYYYMM)]],4),ExperYear)),tbl_Exh3.1[Incurred Date (YYYYMM)],0))/tbl_Exh3.1[[#This Row],[Accumulated Adjustments]]</f>
        <v>1.0280519864999997</v>
      </c>
      <c r="R33" s="339">
        <f ca="1">tbl_Exh3.1[[#This Row],[Allowable Rating Adjustment Normalization Factor]]*tbl_Exh3.1[[#This Row],[Predictive Ultimate Allowed EHB Claims PMPM]]</f>
        <v>344.24600652188855</v>
      </c>
      <c r="S33" s="341">
        <f ca="1">(SUMPRODUCT(J22:J33,B22:B33)/SUM(B22:B33))/(SUMPRODUCT(J10:J21,B10:B21)/SUM(B10:B21))-1</f>
        <v>0.11487658355900199</v>
      </c>
      <c r="T33" s="341">
        <f ca="1">(SUMPRODUCT(R22:R33,B22:B33)/SUM(B22:B33))/(SUMPRODUCT(R10:R21,B10:B21)/SUM(B10:B21))-1</f>
        <v>8.4455453808903513E-2</v>
      </c>
      <c r="U33" s="283"/>
      <c r="V33" s="283"/>
      <c r="W33" s="283"/>
      <c r="X33" s="255">
        <v>202312</v>
      </c>
      <c r="Y33" s="247">
        <f>Y32</f>
        <v>1.085</v>
      </c>
      <c r="Z33" s="247">
        <f t="shared" ca="1" si="1"/>
        <v>-4.7642678237973714E-3</v>
      </c>
      <c r="AA33" s="247">
        <f t="shared" ca="1" si="2"/>
        <v>1.0802357321762026</v>
      </c>
      <c r="AB33" s="247">
        <f>AVERAGE(Y22:Y33)</f>
        <v>1.0850000000000002</v>
      </c>
      <c r="AC33" s="247">
        <f t="shared" ref="AC33:AD34" ca="1" si="9">AVERAGE(Z22:Z33)</f>
        <v>-2.8761234503762154E-3</v>
      </c>
      <c r="AD33" s="247">
        <f t="shared" ca="1" si="9"/>
        <v>1.0821238765496239</v>
      </c>
    </row>
    <row r="34" spans="1:30" s="238" customFormat="1" ht="15.75" x14ac:dyDescent="0.25">
      <c r="A34" s="233">
        <f t="shared" si="3"/>
        <v>202401</v>
      </c>
      <c r="B34" s="342">
        <v>100000</v>
      </c>
      <c r="C34" s="352">
        <f ca="1">tbl_Exh3.1[[#This Row],[Member Months]]*300*(AA34)*tbl_Exh3.1[[#This Row],[Accumulated Adjustments]]+tbl_Exh3.1[[#This Row],[One-Time Adjustment for High Claims (Non-Predictive Claims)]]+tbl_Exh3.1[[#This Row],[One-Time Adjustment for HCRP Receipts]]</f>
        <v>37316213.583193444</v>
      </c>
      <c r="D34" s="343">
        <f t="shared" si="0"/>
        <v>0.98499999999999999</v>
      </c>
      <c r="E34" s="355">
        <f ca="1">tbl_Exh3.1[[#This Row],[Allowed Claims 
(as of 3/31/2025)]]/tbl_Exh3.1[[#This Row],[Allowed Claims Completion factor (based on IBNP estimates)]]</f>
        <v>37884480.795120247</v>
      </c>
      <c r="F34" s="362"/>
      <c r="G34" s="362"/>
      <c r="H34" s="352">
        <f ca="1">0.01*tbl_Exh3.1[[#This Row],[Ultimate Allowed Claims]]</f>
        <v>378844.8079512025</v>
      </c>
      <c r="I34" s="355">
        <f ca="1">tbl_Exh3.1[[#This Row],[Ultimate Allowed Claims]]-tbl_Exh3.1[[#This Row],[One-Time Adjustment for High Claims (Non-Predictive Claims)]]-tbl_Exh3.1[[#This Row],[One-Time Adjustment for HCRP Receipts]]-tbl_Exh3.1[[#This Row],[Non-EHB Allowed Claims]]</f>
        <v>37505635.987169042</v>
      </c>
      <c r="J34" s="329">
        <f ca="1">tbl_Exh3.1[[#This Row],[Predictive Ultimate Allowed EHB Claims]]/tbl_Exh3.1[[#This Row],[Member Months]]</f>
        <v>375.0563598716904</v>
      </c>
      <c r="K34" s="343">
        <v>1.018</v>
      </c>
      <c r="L34" s="343">
        <v>1.0149999999999999</v>
      </c>
      <c r="M34" s="343">
        <v>0.99</v>
      </c>
      <c r="N34" s="343">
        <v>1.0049999999999999</v>
      </c>
      <c r="O34" s="330">
        <f>PRODUCT(tbl_Exh3.1[[#This Row],[Morbidity Adjustment]:[Other Adjustments]])</f>
        <v>1.0280519864999997</v>
      </c>
      <c r="P34" s="330" cm="1">
        <f t="array" ref="P34">PRODUCT(IF(VALUE(RIGHT(tbl_Exh3.1[Incurred Date (YYYYMM)],2))=VALUE(RIGHT(tbl_Exh3.1[[#This Row],[Incurred Date (YYYYMM)]],2)),IF(VALUE(LEFT(tbl_Exh3.1[Incurred Date (YYYYMM)],4))&lt;=VALUE(LEFT(tbl_Exh3.1[[#This Row],[Incurred Date (YYYYMM)]],4)),tbl_Exh3.1[Combined Adjustment],1),1))</f>
        <v>1.0568908869465956</v>
      </c>
      <c r="Q34" s="330">
        <f>INDEX(tbl_Exh3.1[Accumulated Adjustments],MATCH(VALUE(SUBSTITUTE(tbl_Exh3.1[[#This Row],[Incurred Date (YYYYMM)]],LEFT(tbl_Exh3.1[[#This Row],[Incurred Date (YYYYMM)]],4),ExperYear)),tbl_Exh3.1[Incurred Date (YYYYMM)],0))/tbl_Exh3.1[[#This Row],[Accumulated Adjustments]]</f>
        <v>1</v>
      </c>
      <c r="R34" s="331">
        <f ca="1">tbl_Exh3.1[[#This Row],[Allowable Rating Adjustment Normalization Factor]]*tbl_Exh3.1[[#This Row],[Predictive Ultimate Allowed EHB Claims PMPM]]</f>
        <v>375.0563598716904</v>
      </c>
      <c r="S34" s="344">
        <f t="shared" ref="S34:S45" ca="1" si="10">(SUMPRODUCT(J23:J34,B23:B34)/SUM(B23:B34))/(SUMPRODUCT(J11:J22,B11:B22)/SUM(B11:B22))-1</f>
        <v>0.11459073646939411</v>
      </c>
      <c r="T34" s="344">
        <f t="shared" ref="T34:T45" ca="1" si="11">(SUMPRODUCT(R23:R34,B23:B34)/SUM(B23:B34))/(SUMPRODUCT(R11:R22,B11:B22)/SUM(B11:B22))-1</f>
        <v>8.4174744246356736E-2</v>
      </c>
      <c r="U34" s="283"/>
      <c r="V34" s="283"/>
      <c r="W34" s="283"/>
      <c r="X34" s="255">
        <v>202401</v>
      </c>
      <c r="Y34" s="247">
        <f>Y33^2</f>
        <v>1.177225</v>
      </c>
      <c r="Z34" s="247">
        <f t="shared" ca="1" si="1"/>
        <v>-3.0711616806094577E-4</v>
      </c>
      <c r="AA34" s="247">
        <f t="shared" ca="1" si="2"/>
        <v>1.176917883831939</v>
      </c>
      <c r="AB34" s="247">
        <f>AVERAGE(Y23:Y34)</f>
        <v>1.0926854166666669</v>
      </c>
      <c r="AC34" s="247">
        <f t="shared" ca="1" si="9"/>
        <v>-2.8587181994781329E-3</v>
      </c>
      <c r="AD34" s="247">
        <f t="shared" ca="1" si="9"/>
        <v>1.0898266984671883</v>
      </c>
    </row>
    <row r="35" spans="1:30" s="238" customFormat="1" ht="15.75" x14ac:dyDescent="0.25">
      <c r="A35" s="239">
        <f t="shared" si="3"/>
        <v>202402</v>
      </c>
      <c r="B35" s="240">
        <v>100000</v>
      </c>
      <c r="C35" s="347">
        <f ca="1">tbl_Exh3.1[[#This Row],[Member Months]]*300*(AA35)*tbl_Exh3.1[[#This Row],[Accumulated Adjustments]]+tbl_Exh3.1[[#This Row],[One-Time Adjustment for High Claims (Non-Predictive Claims)]]+tbl_Exh3.1[[#This Row],[One-Time Adjustment for HCRP Receipts]]</f>
        <v>37310357.382410079</v>
      </c>
      <c r="D35" s="241">
        <f t="shared" si="0"/>
        <v>0.98499999999999999</v>
      </c>
      <c r="E35" s="353">
        <f ca="1">tbl_Exh3.1[[#This Row],[Allowed Claims 
(as of 3/31/2025)]]/tbl_Exh3.1[[#This Row],[Allowed Claims Completion factor (based on IBNP estimates)]]</f>
        <v>37878535.413614295</v>
      </c>
      <c r="F35" s="357"/>
      <c r="G35" s="357"/>
      <c r="H35" s="347">
        <f ca="1">0.01*tbl_Exh3.1[[#This Row],[Ultimate Allowed Claims]]</f>
        <v>378785.35413614294</v>
      </c>
      <c r="I35" s="353">
        <f ca="1">tbl_Exh3.1[[#This Row],[Ultimate Allowed Claims]]-tbl_Exh3.1[[#This Row],[One-Time Adjustment for High Claims (Non-Predictive Claims)]]-tbl_Exh3.1[[#This Row],[One-Time Adjustment for HCRP Receipts]]-tbl_Exh3.1[[#This Row],[Non-EHB Allowed Claims]]</f>
        <v>37499750.059478149</v>
      </c>
      <c r="J35" s="325">
        <f ca="1">tbl_Exh3.1[[#This Row],[Predictive Ultimate Allowed EHB Claims]]/tbl_Exh3.1[[#This Row],[Member Months]]</f>
        <v>374.99750059478151</v>
      </c>
      <c r="K35" s="242">
        <f>K34</f>
        <v>1.018</v>
      </c>
      <c r="L35" s="242">
        <f t="shared" ref="L35:N45" si="12">L34</f>
        <v>1.0149999999999999</v>
      </c>
      <c r="M35" s="242">
        <f t="shared" si="12"/>
        <v>0.99</v>
      </c>
      <c r="N35" s="242">
        <f t="shared" si="12"/>
        <v>1.0049999999999999</v>
      </c>
      <c r="O35" s="242">
        <f>PRODUCT(tbl_Exh3.1[[#This Row],[Morbidity Adjustment]:[Other Adjustments]])</f>
        <v>1.0280519864999997</v>
      </c>
      <c r="P35" s="242" cm="1">
        <f t="array" ref="P35">PRODUCT(IF(VALUE(RIGHT(tbl_Exh3.1[Incurred Date (YYYYMM)],2))=VALUE(RIGHT(tbl_Exh3.1[[#This Row],[Incurred Date (YYYYMM)]],2)),IF(VALUE(LEFT(tbl_Exh3.1[Incurred Date (YYYYMM)],4))&lt;=VALUE(LEFT(tbl_Exh3.1[[#This Row],[Incurred Date (YYYYMM)]],4)),tbl_Exh3.1[Combined Adjustment],1),1))</f>
        <v>1.0568908869465956</v>
      </c>
      <c r="Q35" s="242">
        <f>INDEX(tbl_Exh3.1[Accumulated Adjustments],MATCH(VALUE(SUBSTITUTE(tbl_Exh3.1[[#This Row],[Incurred Date (YYYYMM)]],LEFT(tbl_Exh3.1[[#This Row],[Incurred Date (YYYYMM)]],4),ExperYear)),tbl_Exh3.1[Incurred Date (YYYYMM)],0))/tbl_Exh3.1[[#This Row],[Accumulated Adjustments]]</f>
        <v>1</v>
      </c>
      <c r="R35" s="243">
        <f ca="1">tbl_Exh3.1[[#This Row],[Allowable Rating Adjustment Normalization Factor]]*tbl_Exh3.1[[#This Row],[Predictive Ultimate Allowed EHB Claims PMPM]]</f>
        <v>374.99750059478151</v>
      </c>
      <c r="S35" s="254">
        <f t="shared" ca="1" si="10"/>
        <v>0.11501963429390449</v>
      </c>
      <c r="T35" s="254">
        <f t="shared" ca="1" si="11"/>
        <v>8.4581798288823951E-2</v>
      </c>
      <c r="U35" s="283"/>
      <c r="V35" s="283"/>
      <c r="W35" s="283"/>
      <c r="X35" s="256">
        <v>202402</v>
      </c>
      <c r="Y35" s="249">
        <f>Y34</f>
        <v>1.177225</v>
      </c>
      <c r="Z35" s="249">
        <f t="shared" ca="1" si="1"/>
        <v>-4.9181517075849561E-4</v>
      </c>
      <c r="AA35" s="249">
        <f t="shared" ca="1" si="2"/>
        <v>1.1767331848292415</v>
      </c>
      <c r="AB35" s="250"/>
      <c r="AC35" s="250"/>
      <c r="AD35" s="250"/>
    </row>
    <row r="36" spans="1:30" s="238" customFormat="1" ht="15.75" x14ac:dyDescent="0.25">
      <c r="A36" s="239">
        <f t="shared" si="3"/>
        <v>202403</v>
      </c>
      <c r="B36" s="240">
        <v>100000</v>
      </c>
      <c r="C36" s="347">
        <f ca="1">tbl_Exh3.1[[#This Row],[Member Months]]*300*(AA36)*tbl_Exh3.1[[#This Row],[Accumulated Adjustments]]+tbl_Exh3.1[[#This Row],[One-Time Adjustment for High Claims (Non-Predictive Claims)]]+tbl_Exh3.1[[#This Row],[One-Time Adjustment for HCRP Receipts]]</f>
        <v>37250416.289527379</v>
      </c>
      <c r="D36" s="241">
        <f t="shared" si="0"/>
        <v>0.98499999999999999</v>
      </c>
      <c r="E36" s="353">
        <f ca="1">tbl_Exh3.1[[#This Row],[Allowed Claims 
(as of 3/31/2025)]]/tbl_Exh3.1[[#This Row],[Allowed Claims Completion factor (based on IBNP estimates)]]</f>
        <v>37817681.51221054</v>
      </c>
      <c r="F36" s="357"/>
      <c r="G36" s="357"/>
      <c r="H36" s="347">
        <f ca="1">0.01*tbl_Exh3.1[[#This Row],[Ultimate Allowed Claims]]</f>
        <v>378176.81512210541</v>
      </c>
      <c r="I36" s="353">
        <f ca="1">tbl_Exh3.1[[#This Row],[Ultimate Allowed Claims]]-tbl_Exh3.1[[#This Row],[One-Time Adjustment for High Claims (Non-Predictive Claims)]]-tbl_Exh3.1[[#This Row],[One-Time Adjustment for HCRP Receipts]]-tbl_Exh3.1[[#This Row],[Non-EHB Allowed Claims]]</f>
        <v>37439504.697088435</v>
      </c>
      <c r="J36" s="325">
        <f ca="1">tbl_Exh3.1[[#This Row],[Predictive Ultimate Allowed EHB Claims]]/tbl_Exh3.1[[#This Row],[Member Months]]</f>
        <v>374.39504697088438</v>
      </c>
      <c r="K36" s="242">
        <f t="shared" ref="K36:K45" si="13">K35</f>
        <v>1.018</v>
      </c>
      <c r="L36" s="242">
        <f t="shared" si="12"/>
        <v>1.0149999999999999</v>
      </c>
      <c r="M36" s="242">
        <f t="shared" si="12"/>
        <v>0.99</v>
      </c>
      <c r="N36" s="242">
        <f t="shared" si="12"/>
        <v>1.0049999999999999</v>
      </c>
      <c r="O36" s="242">
        <f>PRODUCT(tbl_Exh3.1[[#This Row],[Morbidity Adjustment]:[Other Adjustments]])</f>
        <v>1.0280519864999997</v>
      </c>
      <c r="P36" s="242" cm="1">
        <f t="array" ref="P36">PRODUCT(IF(VALUE(RIGHT(tbl_Exh3.1[Incurred Date (YYYYMM)],2))=VALUE(RIGHT(tbl_Exh3.1[[#This Row],[Incurred Date (YYYYMM)]],2)),IF(VALUE(LEFT(tbl_Exh3.1[Incurred Date (YYYYMM)],4))&lt;=VALUE(LEFT(tbl_Exh3.1[[#This Row],[Incurred Date (YYYYMM)]],4)),tbl_Exh3.1[Combined Adjustment],1),1))</f>
        <v>1.0568908869465956</v>
      </c>
      <c r="Q36" s="242">
        <f>INDEX(tbl_Exh3.1[Accumulated Adjustments],MATCH(VALUE(SUBSTITUTE(tbl_Exh3.1[[#This Row],[Incurred Date (YYYYMM)]],LEFT(tbl_Exh3.1[[#This Row],[Incurred Date (YYYYMM)]],4),ExperYear)),tbl_Exh3.1[Incurred Date (YYYYMM)],0))/tbl_Exh3.1[[#This Row],[Accumulated Adjustments]]</f>
        <v>1</v>
      </c>
      <c r="R36" s="243">
        <f ca="1">tbl_Exh3.1[[#This Row],[Allowable Rating Adjustment Normalization Factor]]*tbl_Exh3.1[[#This Row],[Predictive Ultimate Allowed EHB Claims PMPM]]</f>
        <v>374.39504697088438</v>
      </c>
      <c r="S36" s="254">
        <f t="shared" ca="1" si="10"/>
        <v>0.11483528063530257</v>
      </c>
      <c r="T36" s="254">
        <f t="shared" ca="1" si="11"/>
        <v>8.4400856928586787E-2</v>
      </c>
      <c r="U36" s="283"/>
      <c r="V36" s="283"/>
      <c r="W36" s="283"/>
      <c r="X36" s="256">
        <v>202403</v>
      </c>
      <c r="Y36" s="249">
        <f t="shared" ref="Y36:Y45" si="14">Y35</f>
        <v>1.177225</v>
      </c>
      <c r="Z36" s="249">
        <f t="shared" ca="1" si="1"/>
        <v>-2.3823002284882639E-3</v>
      </c>
      <c r="AA36" s="249">
        <f t="shared" ca="1" si="2"/>
        <v>1.1748426997715118</v>
      </c>
      <c r="AB36" s="250"/>
      <c r="AC36" s="250"/>
      <c r="AD36" s="250"/>
    </row>
    <row r="37" spans="1:30" s="238" customFormat="1" ht="15.75" x14ac:dyDescent="0.25">
      <c r="A37" s="239">
        <f t="shared" si="3"/>
        <v>202404</v>
      </c>
      <c r="B37" s="240">
        <v>100000</v>
      </c>
      <c r="C37" s="347">
        <f ca="1">tbl_Exh3.1[[#This Row],[Member Months]]*300*(AA37)*tbl_Exh3.1[[#This Row],[Accumulated Adjustments]]+tbl_Exh3.1[[#This Row],[One-Time Adjustment for High Claims (Non-Predictive Claims)]]+tbl_Exh3.1[[#This Row],[One-Time Adjustment for HCRP Receipts]]</f>
        <v>37185965.992269777</v>
      </c>
      <c r="D37" s="241">
        <f t="shared" si="0"/>
        <v>0.98499999999999999</v>
      </c>
      <c r="E37" s="353">
        <f ca="1">tbl_Exh3.1[[#This Row],[Allowed Claims 
(as of 3/31/2025)]]/tbl_Exh3.1[[#This Row],[Allowed Claims Completion factor (based on IBNP estimates)]]</f>
        <v>37752249.738344952</v>
      </c>
      <c r="F37" s="357"/>
      <c r="G37" s="357"/>
      <c r="H37" s="347">
        <f ca="1">0.01*tbl_Exh3.1[[#This Row],[Ultimate Allowed Claims]]</f>
        <v>377522.49738344952</v>
      </c>
      <c r="I37" s="353">
        <f ca="1">tbl_Exh3.1[[#This Row],[Ultimate Allowed Claims]]-tbl_Exh3.1[[#This Row],[One-Time Adjustment for High Claims (Non-Predictive Claims)]]-tbl_Exh3.1[[#This Row],[One-Time Adjustment for HCRP Receipts]]-tbl_Exh3.1[[#This Row],[Non-EHB Allowed Claims]]</f>
        <v>37374727.2409615</v>
      </c>
      <c r="J37" s="325">
        <f ca="1">tbl_Exh3.1[[#This Row],[Predictive Ultimate Allowed EHB Claims]]/tbl_Exh3.1[[#This Row],[Member Months]]</f>
        <v>373.74727240961499</v>
      </c>
      <c r="K37" s="242">
        <f t="shared" si="13"/>
        <v>1.018</v>
      </c>
      <c r="L37" s="242">
        <f t="shared" si="12"/>
        <v>1.0149999999999999</v>
      </c>
      <c r="M37" s="242">
        <f t="shared" si="12"/>
        <v>0.99</v>
      </c>
      <c r="N37" s="242">
        <f t="shared" si="12"/>
        <v>1.0049999999999999</v>
      </c>
      <c r="O37" s="242">
        <f>PRODUCT(tbl_Exh3.1[[#This Row],[Morbidity Adjustment]:[Other Adjustments]])</f>
        <v>1.0280519864999997</v>
      </c>
      <c r="P37" s="242" cm="1">
        <f t="array" ref="P37">PRODUCT(IF(VALUE(RIGHT(tbl_Exh3.1[Incurred Date (YYYYMM)],2))=VALUE(RIGHT(tbl_Exh3.1[[#This Row],[Incurred Date (YYYYMM)]],2)),IF(VALUE(LEFT(tbl_Exh3.1[Incurred Date (YYYYMM)],4))&lt;=VALUE(LEFT(tbl_Exh3.1[[#This Row],[Incurred Date (YYYYMM)]],4)),tbl_Exh3.1[Combined Adjustment],1),1))</f>
        <v>1.0568908869465956</v>
      </c>
      <c r="Q37" s="242">
        <f>INDEX(tbl_Exh3.1[Accumulated Adjustments],MATCH(VALUE(SUBSTITUTE(tbl_Exh3.1[[#This Row],[Incurred Date (YYYYMM)]],LEFT(tbl_Exh3.1[[#This Row],[Incurred Date (YYYYMM)]],4),ExperYear)),tbl_Exh3.1[Incurred Date (YYYYMM)],0))/tbl_Exh3.1[[#This Row],[Accumulated Adjustments]]</f>
        <v>1</v>
      </c>
      <c r="R37" s="243">
        <f ca="1">tbl_Exh3.1[[#This Row],[Allowable Rating Adjustment Normalization Factor]]*tbl_Exh3.1[[#This Row],[Predictive Ultimate Allowed EHB Claims PMPM]]</f>
        <v>373.74727240961499</v>
      </c>
      <c r="S37" s="254">
        <f t="shared" ca="1" si="10"/>
        <v>0.11447596638233737</v>
      </c>
      <c r="T37" s="254">
        <f t="shared" ca="1" si="11"/>
        <v>8.4051441467455579E-2</v>
      </c>
      <c r="U37" s="283"/>
      <c r="V37" s="283"/>
      <c r="W37" s="283"/>
      <c r="X37" s="256">
        <v>202404</v>
      </c>
      <c r="Y37" s="249">
        <f t="shared" si="14"/>
        <v>1.177225</v>
      </c>
      <c r="Z37" s="249">
        <f t="shared" ca="1" si="1"/>
        <v>-4.4150013033613838E-3</v>
      </c>
      <c r="AA37" s="249">
        <f t="shared" ca="1" si="2"/>
        <v>1.1728099986966385</v>
      </c>
      <c r="AB37" s="250"/>
      <c r="AC37" s="250"/>
      <c r="AD37" s="250"/>
    </row>
    <row r="38" spans="1:30" s="238" customFormat="1" ht="15.75" x14ac:dyDescent="0.25">
      <c r="A38" s="239">
        <f t="shared" si="3"/>
        <v>202405</v>
      </c>
      <c r="B38" s="240">
        <v>100000</v>
      </c>
      <c r="C38" s="347">
        <f ca="1">tbl_Exh3.1[[#This Row],[Member Months]]*300*(AA38)*tbl_Exh3.1[[#This Row],[Accumulated Adjustments]]+tbl_Exh3.1[[#This Row],[One-Time Adjustment for High Claims (Non-Predictive Claims)]]+tbl_Exh3.1[[#This Row],[One-Time Adjustment for HCRP Receipts]]</f>
        <v>37211715.090906769</v>
      </c>
      <c r="D38" s="241">
        <f t="shared" si="0"/>
        <v>0.98499999999999999</v>
      </c>
      <c r="E38" s="353">
        <f ca="1">tbl_Exh3.1[[#This Row],[Allowed Claims 
(as of 3/31/2025)]]/tbl_Exh3.1[[#This Row],[Allowed Claims Completion factor (based on IBNP estimates)]]</f>
        <v>37778390.955235302</v>
      </c>
      <c r="F38" s="357"/>
      <c r="G38" s="357"/>
      <c r="H38" s="347">
        <f ca="1">0.01*tbl_Exh3.1[[#This Row],[Ultimate Allowed Claims]]</f>
        <v>377783.90955235303</v>
      </c>
      <c r="I38" s="353">
        <f ca="1">tbl_Exh3.1[[#This Row],[Ultimate Allowed Claims]]-tbl_Exh3.1[[#This Row],[One-Time Adjustment for High Claims (Non-Predictive Claims)]]-tbl_Exh3.1[[#This Row],[One-Time Adjustment for HCRP Receipts]]-tbl_Exh3.1[[#This Row],[Non-EHB Allowed Claims]]</f>
        <v>37400607.045682952</v>
      </c>
      <c r="J38" s="325">
        <f ca="1">tbl_Exh3.1[[#This Row],[Predictive Ultimate Allowed EHB Claims]]/tbl_Exh3.1[[#This Row],[Member Months]]</f>
        <v>374.00607045682949</v>
      </c>
      <c r="K38" s="242">
        <f t="shared" si="13"/>
        <v>1.018</v>
      </c>
      <c r="L38" s="242">
        <f t="shared" si="12"/>
        <v>1.0149999999999999</v>
      </c>
      <c r="M38" s="242">
        <f t="shared" si="12"/>
        <v>0.99</v>
      </c>
      <c r="N38" s="242">
        <f t="shared" si="12"/>
        <v>1.0049999999999999</v>
      </c>
      <c r="O38" s="242">
        <f>PRODUCT(tbl_Exh3.1[[#This Row],[Morbidity Adjustment]:[Other Adjustments]])</f>
        <v>1.0280519864999997</v>
      </c>
      <c r="P38" s="242" cm="1">
        <f t="array" ref="P38">PRODUCT(IF(VALUE(RIGHT(tbl_Exh3.1[Incurred Date (YYYYMM)],2))=VALUE(RIGHT(tbl_Exh3.1[[#This Row],[Incurred Date (YYYYMM)]],2)),IF(VALUE(LEFT(tbl_Exh3.1[Incurred Date (YYYYMM)],4))&lt;=VALUE(LEFT(tbl_Exh3.1[[#This Row],[Incurred Date (YYYYMM)]],4)),tbl_Exh3.1[Combined Adjustment],1),1))</f>
        <v>1.0568908869465956</v>
      </c>
      <c r="Q38" s="242">
        <f>INDEX(tbl_Exh3.1[Accumulated Adjustments],MATCH(VALUE(SUBSTITUTE(tbl_Exh3.1[[#This Row],[Incurred Date (YYYYMM)]],LEFT(tbl_Exh3.1[[#This Row],[Incurred Date (YYYYMM)]],4),ExperYear)),tbl_Exh3.1[Incurred Date (YYYYMM)],0))/tbl_Exh3.1[[#This Row],[Accumulated Adjustments]]</f>
        <v>1</v>
      </c>
      <c r="R38" s="243">
        <f ca="1">tbl_Exh3.1[[#This Row],[Allowable Rating Adjustment Normalization Factor]]*tbl_Exh3.1[[#This Row],[Predictive Ultimate Allowed EHB Claims PMPM]]</f>
        <v>374.00607045682949</v>
      </c>
      <c r="S38" s="254">
        <f t="shared" ca="1" si="10"/>
        <v>0.11468011955900259</v>
      </c>
      <c r="T38" s="254">
        <f t="shared" ca="1" si="11"/>
        <v>8.4248689420460598E-2</v>
      </c>
      <c r="U38" s="283"/>
      <c r="V38" s="283"/>
      <c r="W38" s="283"/>
      <c r="X38" s="256">
        <v>202405</v>
      </c>
      <c r="Y38" s="249">
        <f t="shared" si="14"/>
        <v>1.177225</v>
      </c>
      <c r="Z38" s="249">
        <f t="shared" ca="1" si="1"/>
        <v>-3.6028992230991166E-3</v>
      </c>
      <c r="AA38" s="249">
        <f t="shared" ca="1" si="2"/>
        <v>1.1736221007769008</v>
      </c>
      <c r="AB38" s="250"/>
      <c r="AC38" s="250"/>
      <c r="AD38" s="250"/>
    </row>
    <row r="39" spans="1:30" s="238" customFormat="1" ht="15.75" x14ac:dyDescent="0.25">
      <c r="A39" s="239">
        <f t="shared" si="3"/>
        <v>202406</v>
      </c>
      <c r="B39" s="240">
        <v>100000</v>
      </c>
      <c r="C39" s="347">
        <f ca="1">tbl_Exh3.1[[#This Row],[Member Months]]*300*(AA39)*tbl_Exh3.1[[#This Row],[Accumulated Adjustments]]+tbl_Exh3.1[[#This Row],[One-Time Adjustment for High Claims (Non-Predictive Claims)]]+tbl_Exh3.1[[#This Row],[One-Time Adjustment for HCRP Receipts]]</f>
        <v>37202145.745615274</v>
      </c>
      <c r="D39" s="241">
        <f t="shared" si="0"/>
        <v>0.98499999999999999</v>
      </c>
      <c r="E39" s="353">
        <f ca="1">tbl_Exh3.1[[#This Row],[Allowed Claims 
(as of 3/31/2025)]]/tbl_Exh3.1[[#This Row],[Allowed Claims Completion factor (based on IBNP estimates)]]</f>
        <v>37768675.883873373</v>
      </c>
      <c r="F39" s="357"/>
      <c r="G39" s="357"/>
      <c r="H39" s="347">
        <f ca="1">0.01*tbl_Exh3.1[[#This Row],[Ultimate Allowed Claims]]</f>
        <v>377686.75883873372</v>
      </c>
      <c r="I39" s="353">
        <f ca="1">tbl_Exh3.1[[#This Row],[Ultimate Allowed Claims]]-tbl_Exh3.1[[#This Row],[One-Time Adjustment for High Claims (Non-Predictive Claims)]]-tbl_Exh3.1[[#This Row],[One-Time Adjustment for HCRP Receipts]]-tbl_Exh3.1[[#This Row],[Non-EHB Allowed Claims]]</f>
        <v>37390989.125034638</v>
      </c>
      <c r="J39" s="325">
        <f ca="1">tbl_Exh3.1[[#This Row],[Predictive Ultimate Allowed EHB Claims]]/tbl_Exh3.1[[#This Row],[Member Months]]</f>
        <v>373.90989125034639</v>
      </c>
      <c r="K39" s="242">
        <f t="shared" si="13"/>
        <v>1.018</v>
      </c>
      <c r="L39" s="242">
        <f t="shared" si="12"/>
        <v>1.0149999999999999</v>
      </c>
      <c r="M39" s="242">
        <f t="shared" si="12"/>
        <v>0.99</v>
      </c>
      <c r="N39" s="242">
        <f t="shared" si="12"/>
        <v>1.0049999999999999</v>
      </c>
      <c r="O39" s="242">
        <f>PRODUCT(tbl_Exh3.1[[#This Row],[Morbidity Adjustment]:[Other Adjustments]])</f>
        <v>1.0280519864999997</v>
      </c>
      <c r="P39" s="242" cm="1">
        <f t="array" ref="P39">PRODUCT(IF(VALUE(RIGHT(tbl_Exh3.1[Incurred Date (YYYYMM)],2))=VALUE(RIGHT(tbl_Exh3.1[[#This Row],[Incurred Date (YYYYMM)]],2)),IF(VALUE(LEFT(tbl_Exh3.1[Incurred Date (YYYYMM)],4))&lt;=VALUE(LEFT(tbl_Exh3.1[[#This Row],[Incurred Date (YYYYMM)]],4)),tbl_Exh3.1[Combined Adjustment],1),1))</f>
        <v>1.0568908869465956</v>
      </c>
      <c r="Q39" s="242">
        <f>INDEX(tbl_Exh3.1[Accumulated Adjustments],MATCH(VALUE(SUBSTITUTE(tbl_Exh3.1[[#This Row],[Incurred Date (YYYYMM)]],LEFT(tbl_Exh3.1[[#This Row],[Incurred Date (YYYYMM)]],4),ExperYear)),tbl_Exh3.1[Incurred Date (YYYYMM)],0))/tbl_Exh3.1[[#This Row],[Accumulated Adjustments]]</f>
        <v>1</v>
      </c>
      <c r="R39" s="243">
        <f ca="1">tbl_Exh3.1[[#This Row],[Allowable Rating Adjustment Normalization Factor]]*tbl_Exh3.1[[#This Row],[Predictive Ultimate Allowed EHB Claims PMPM]]</f>
        <v>373.90989125034639</v>
      </c>
      <c r="S39" s="254">
        <f t="shared" ca="1" si="10"/>
        <v>0.11506584639595285</v>
      </c>
      <c r="T39" s="254">
        <f t="shared" ca="1" si="11"/>
        <v>8.4624395402509878E-2</v>
      </c>
      <c r="U39" s="283"/>
      <c r="V39" s="283"/>
      <c r="W39" s="283"/>
      <c r="X39" s="256">
        <v>202406</v>
      </c>
      <c r="Y39" s="249">
        <f t="shared" si="14"/>
        <v>1.177225</v>
      </c>
      <c r="Z39" s="249">
        <f t="shared" ca="1" si="1"/>
        <v>-3.9047072718984589E-3</v>
      </c>
      <c r="AA39" s="249">
        <f t="shared" ca="1" si="2"/>
        <v>1.1733202927281015</v>
      </c>
      <c r="AB39" s="250"/>
      <c r="AC39" s="250"/>
      <c r="AD39" s="250"/>
    </row>
    <row r="40" spans="1:30" s="238" customFormat="1" ht="15.75" x14ac:dyDescent="0.25">
      <c r="A40" s="239">
        <f t="shared" si="3"/>
        <v>202407</v>
      </c>
      <c r="B40" s="240">
        <v>100000</v>
      </c>
      <c r="C40" s="347">
        <f ca="1">tbl_Exh3.1[[#This Row],[Member Months]]*300*(AA40)*tbl_Exh3.1[[#This Row],[Accumulated Adjustments]]+tbl_Exh3.1[[#This Row],[One-Time Adjustment for High Claims (Non-Predictive Claims)]]+tbl_Exh3.1[[#This Row],[One-Time Adjustment for HCRP Receipts]]</f>
        <v>37313359.361714885</v>
      </c>
      <c r="D40" s="241">
        <f t="shared" si="0"/>
        <v>0.98499999999999999</v>
      </c>
      <c r="E40" s="353">
        <f ca="1">tbl_Exh3.1[[#This Row],[Allowed Claims 
(as of 3/31/2025)]]/tbl_Exh3.1[[#This Row],[Allowed Claims Completion factor (based on IBNP estimates)]]</f>
        <v>37881583.108339988</v>
      </c>
      <c r="F40" s="357"/>
      <c r="G40" s="357"/>
      <c r="H40" s="347">
        <f ca="1">0.01*tbl_Exh3.1[[#This Row],[Ultimate Allowed Claims]]</f>
        <v>378815.83108339988</v>
      </c>
      <c r="I40" s="353">
        <f ca="1">tbl_Exh3.1[[#This Row],[Ultimate Allowed Claims]]-tbl_Exh3.1[[#This Row],[One-Time Adjustment for High Claims (Non-Predictive Claims)]]-tbl_Exh3.1[[#This Row],[One-Time Adjustment for HCRP Receipts]]-tbl_Exh3.1[[#This Row],[Non-EHB Allowed Claims]]</f>
        <v>37502767.277256586</v>
      </c>
      <c r="J40" s="325">
        <f ca="1">tbl_Exh3.1[[#This Row],[Predictive Ultimate Allowed EHB Claims]]/tbl_Exh3.1[[#This Row],[Member Months]]</f>
        <v>375.02767277256584</v>
      </c>
      <c r="K40" s="242">
        <f t="shared" si="13"/>
        <v>1.018</v>
      </c>
      <c r="L40" s="242">
        <f t="shared" si="12"/>
        <v>1.0149999999999999</v>
      </c>
      <c r="M40" s="242">
        <f t="shared" si="12"/>
        <v>0.99</v>
      </c>
      <c r="N40" s="242">
        <f t="shared" si="12"/>
        <v>1.0049999999999999</v>
      </c>
      <c r="O40" s="242">
        <f>PRODUCT(tbl_Exh3.1[[#This Row],[Morbidity Adjustment]:[Other Adjustments]])</f>
        <v>1.0280519864999997</v>
      </c>
      <c r="P40" s="242" cm="1">
        <f t="array" ref="P40">PRODUCT(IF(VALUE(RIGHT(tbl_Exh3.1[Incurred Date (YYYYMM)],2))=VALUE(RIGHT(tbl_Exh3.1[[#This Row],[Incurred Date (YYYYMM)]],2)),IF(VALUE(LEFT(tbl_Exh3.1[Incurred Date (YYYYMM)],4))&lt;=VALUE(LEFT(tbl_Exh3.1[[#This Row],[Incurred Date (YYYYMM)]],4)),tbl_Exh3.1[Combined Adjustment],1),1))</f>
        <v>1.0568908869465956</v>
      </c>
      <c r="Q40" s="242">
        <f>INDEX(tbl_Exh3.1[Accumulated Adjustments],MATCH(VALUE(SUBSTITUTE(tbl_Exh3.1[[#This Row],[Incurred Date (YYYYMM)]],LEFT(tbl_Exh3.1[[#This Row],[Incurred Date (YYYYMM)]],4),ExperYear)),tbl_Exh3.1[Incurred Date (YYYYMM)],0))/tbl_Exh3.1[[#This Row],[Accumulated Adjustments]]</f>
        <v>1</v>
      </c>
      <c r="R40" s="243">
        <f ca="1">tbl_Exh3.1[[#This Row],[Allowable Rating Adjustment Normalization Factor]]*tbl_Exh3.1[[#This Row],[Predictive Ultimate Allowed EHB Claims PMPM]]</f>
        <v>375.02767277256584</v>
      </c>
      <c r="S40" s="254">
        <f t="shared" ca="1" si="10"/>
        <v>0.11506524717223487</v>
      </c>
      <c r="T40" s="254">
        <f t="shared" ca="1" si="11"/>
        <v>8.4621754181444686E-2</v>
      </c>
      <c r="U40" s="283"/>
      <c r="V40" s="283"/>
      <c r="W40" s="283"/>
      <c r="X40" s="256">
        <v>202407</v>
      </c>
      <c r="Y40" s="249">
        <f t="shared" si="14"/>
        <v>1.177225</v>
      </c>
      <c r="Z40" s="249">
        <f t="shared" ca="1" si="1"/>
        <v>-3.9713559875835302E-4</v>
      </c>
      <c r="AA40" s="249">
        <f t="shared" ca="1" si="2"/>
        <v>1.1768278644012415</v>
      </c>
      <c r="AB40" s="250"/>
      <c r="AC40" s="250"/>
      <c r="AD40" s="250"/>
    </row>
    <row r="41" spans="1:30" s="238" customFormat="1" ht="15.75" x14ac:dyDescent="0.25">
      <c r="A41" s="239">
        <f t="shared" si="3"/>
        <v>202408</v>
      </c>
      <c r="B41" s="240">
        <v>100000</v>
      </c>
      <c r="C41" s="347">
        <f ca="1">tbl_Exh3.1[[#This Row],[Member Months]]*300*(AA41)*tbl_Exh3.1[[#This Row],[Accumulated Adjustments]]+tbl_Exh3.1[[#This Row],[One-Time Adjustment for High Claims (Non-Predictive Claims)]]+tbl_Exh3.1[[#This Row],[One-Time Adjustment for HCRP Receipts]]</f>
        <v>37205731.220048368</v>
      </c>
      <c r="D41" s="241">
        <f t="shared" si="0"/>
        <v>0.98499999999999999</v>
      </c>
      <c r="E41" s="353">
        <f ca="1">tbl_Exh3.1[[#This Row],[Allowed Claims 
(as of 3/31/2025)]]/tbl_Exh3.1[[#This Row],[Allowed Claims Completion factor (based on IBNP estimates)]]</f>
        <v>37772315.959439971</v>
      </c>
      <c r="F41" s="357"/>
      <c r="G41" s="357"/>
      <c r="H41" s="347">
        <f ca="1">0.01*tbl_Exh3.1[[#This Row],[Ultimate Allowed Claims]]</f>
        <v>377723.15959439974</v>
      </c>
      <c r="I41" s="353">
        <f ca="1">tbl_Exh3.1[[#This Row],[Ultimate Allowed Claims]]-tbl_Exh3.1[[#This Row],[One-Time Adjustment for High Claims (Non-Predictive Claims)]]-tbl_Exh3.1[[#This Row],[One-Time Adjustment for HCRP Receipts]]-tbl_Exh3.1[[#This Row],[Non-EHB Allowed Claims]]</f>
        <v>37394592.799845569</v>
      </c>
      <c r="J41" s="325">
        <f ca="1">tbl_Exh3.1[[#This Row],[Predictive Ultimate Allowed EHB Claims]]/tbl_Exh3.1[[#This Row],[Member Months]]</f>
        <v>373.94592799845572</v>
      </c>
      <c r="K41" s="242">
        <f t="shared" si="13"/>
        <v>1.018</v>
      </c>
      <c r="L41" s="242">
        <f t="shared" si="12"/>
        <v>1.0149999999999999</v>
      </c>
      <c r="M41" s="242">
        <f t="shared" si="12"/>
        <v>0.99</v>
      </c>
      <c r="N41" s="242">
        <f t="shared" si="12"/>
        <v>1.0049999999999999</v>
      </c>
      <c r="O41" s="242">
        <f>PRODUCT(tbl_Exh3.1[[#This Row],[Morbidity Adjustment]:[Other Adjustments]])</f>
        <v>1.0280519864999997</v>
      </c>
      <c r="P41" s="242" cm="1">
        <f t="array" ref="P41">PRODUCT(IF(VALUE(RIGHT(tbl_Exh3.1[Incurred Date (YYYYMM)],2))=VALUE(RIGHT(tbl_Exh3.1[[#This Row],[Incurred Date (YYYYMM)]],2)),IF(VALUE(LEFT(tbl_Exh3.1[Incurred Date (YYYYMM)],4))&lt;=VALUE(LEFT(tbl_Exh3.1[[#This Row],[Incurred Date (YYYYMM)]],4)),tbl_Exh3.1[Combined Adjustment],1),1))</f>
        <v>1.0568908869465956</v>
      </c>
      <c r="Q41" s="242">
        <f>INDEX(tbl_Exh3.1[Accumulated Adjustments],MATCH(VALUE(SUBSTITUTE(tbl_Exh3.1[[#This Row],[Incurred Date (YYYYMM)]],LEFT(tbl_Exh3.1[[#This Row],[Incurred Date (YYYYMM)]],4),ExperYear)),tbl_Exh3.1[Incurred Date (YYYYMM)],0))/tbl_Exh3.1[[#This Row],[Accumulated Adjustments]]</f>
        <v>1</v>
      </c>
      <c r="R41" s="243">
        <f ca="1">tbl_Exh3.1[[#This Row],[Allowable Rating Adjustment Normalization Factor]]*tbl_Exh3.1[[#This Row],[Predictive Ultimate Allowed EHB Claims PMPM]]</f>
        <v>373.94592799845572</v>
      </c>
      <c r="S41" s="254">
        <f t="shared" ca="1" si="10"/>
        <v>0.11552827296053292</v>
      </c>
      <c r="T41" s="254">
        <f t="shared" ca="1" si="11"/>
        <v>8.5077237561611341E-2</v>
      </c>
      <c r="U41" s="283"/>
      <c r="V41" s="283"/>
      <c r="W41" s="283"/>
      <c r="X41" s="256">
        <v>202408</v>
      </c>
      <c r="Y41" s="249">
        <f t="shared" si="14"/>
        <v>1.177225</v>
      </c>
      <c r="Z41" s="249">
        <f t="shared" ca="1" si="1"/>
        <v>-3.7916248185320251E-3</v>
      </c>
      <c r="AA41" s="249">
        <f t="shared" ca="1" si="2"/>
        <v>1.1734333751814678</v>
      </c>
      <c r="AB41" s="250"/>
      <c r="AC41" s="250"/>
      <c r="AD41" s="250"/>
    </row>
    <row r="42" spans="1:30" s="238" customFormat="1" ht="15.75" x14ac:dyDescent="0.25">
      <c r="A42" s="239">
        <f t="shared" si="3"/>
        <v>202409</v>
      </c>
      <c r="B42" s="240">
        <v>100000</v>
      </c>
      <c r="C42" s="347">
        <f ca="1">tbl_Exh3.1[[#This Row],[Member Months]]*300*(AA42)*tbl_Exh3.1[[#This Row],[Accumulated Adjustments]]+tbl_Exh3.1[[#This Row],[One-Time Adjustment for High Claims (Non-Predictive Claims)]]+tbl_Exh3.1[[#This Row],[One-Time Adjustment for HCRP Receipts]]</f>
        <v>37205563.757666811</v>
      </c>
      <c r="D42" s="241">
        <f t="shared" si="0"/>
        <v>0.98499999999999999</v>
      </c>
      <c r="E42" s="353">
        <f ca="1">tbl_Exh3.1[[#This Row],[Allowed Claims 
(as of 3/31/2025)]]/tbl_Exh3.1[[#This Row],[Allowed Claims Completion factor (based on IBNP estimates)]]</f>
        <v>37772145.946869858</v>
      </c>
      <c r="F42" s="357"/>
      <c r="G42" s="357"/>
      <c r="H42" s="347">
        <f ca="1">0.01*tbl_Exh3.1[[#This Row],[Ultimate Allowed Claims]]</f>
        <v>377721.45946869859</v>
      </c>
      <c r="I42" s="353">
        <f ca="1">tbl_Exh3.1[[#This Row],[Ultimate Allowed Claims]]-tbl_Exh3.1[[#This Row],[One-Time Adjustment for High Claims (Non-Predictive Claims)]]-tbl_Exh3.1[[#This Row],[One-Time Adjustment for HCRP Receipts]]-tbl_Exh3.1[[#This Row],[Non-EHB Allowed Claims]]</f>
        <v>37394424.487401158</v>
      </c>
      <c r="J42" s="325">
        <f ca="1">tbl_Exh3.1[[#This Row],[Predictive Ultimate Allowed EHB Claims]]/tbl_Exh3.1[[#This Row],[Member Months]]</f>
        <v>373.94424487401159</v>
      </c>
      <c r="K42" s="242">
        <f t="shared" si="13"/>
        <v>1.018</v>
      </c>
      <c r="L42" s="242">
        <f t="shared" si="12"/>
        <v>1.0149999999999999</v>
      </c>
      <c r="M42" s="242">
        <f t="shared" si="12"/>
        <v>0.99</v>
      </c>
      <c r="N42" s="242">
        <f t="shared" si="12"/>
        <v>1.0049999999999999</v>
      </c>
      <c r="O42" s="242">
        <f>PRODUCT(tbl_Exh3.1[[#This Row],[Morbidity Adjustment]:[Other Adjustments]])</f>
        <v>1.0280519864999997</v>
      </c>
      <c r="P42" s="242" cm="1">
        <f t="array" ref="P42">PRODUCT(IF(VALUE(RIGHT(tbl_Exh3.1[Incurred Date (YYYYMM)],2))=VALUE(RIGHT(tbl_Exh3.1[[#This Row],[Incurred Date (YYYYMM)]],2)),IF(VALUE(LEFT(tbl_Exh3.1[Incurred Date (YYYYMM)],4))&lt;=VALUE(LEFT(tbl_Exh3.1[[#This Row],[Incurred Date (YYYYMM)]],4)),tbl_Exh3.1[Combined Adjustment],1),1))</f>
        <v>1.0568908869465956</v>
      </c>
      <c r="Q42" s="242">
        <f>INDEX(tbl_Exh3.1[Accumulated Adjustments],MATCH(VALUE(SUBSTITUTE(tbl_Exh3.1[[#This Row],[Incurred Date (YYYYMM)]],LEFT(tbl_Exh3.1[[#This Row],[Incurred Date (YYYYMM)]],4),ExperYear)),tbl_Exh3.1[Incurred Date (YYYYMM)],0))/tbl_Exh3.1[[#This Row],[Accumulated Adjustments]]</f>
        <v>1</v>
      </c>
      <c r="R42" s="243">
        <f ca="1">tbl_Exh3.1[[#This Row],[Allowable Rating Adjustment Normalization Factor]]*tbl_Exh3.1[[#This Row],[Predictive Ultimate Allowed EHB Claims PMPM]]</f>
        <v>373.94424487401159</v>
      </c>
      <c r="S42" s="254">
        <f t="shared" ca="1" si="10"/>
        <v>0.11527322316142685</v>
      </c>
      <c r="T42" s="254">
        <f t="shared" ca="1" si="11"/>
        <v>8.4829541199183955E-2</v>
      </c>
      <c r="U42" s="283"/>
      <c r="V42" s="283"/>
      <c r="W42" s="283"/>
      <c r="X42" s="256">
        <v>202409</v>
      </c>
      <c r="Y42" s="249">
        <f t="shared" si="14"/>
        <v>1.177225</v>
      </c>
      <c r="Z42" s="249">
        <f t="shared" ca="1" si="1"/>
        <v>-3.7969064227678147E-3</v>
      </c>
      <c r="AA42" s="249">
        <f t="shared" ca="1" si="2"/>
        <v>1.1734280935772321</v>
      </c>
      <c r="AB42" s="250"/>
      <c r="AC42" s="250"/>
      <c r="AD42" s="250"/>
    </row>
    <row r="43" spans="1:30" s="238" customFormat="1" ht="15.75" x14ac:dyDescent="0.25">
      <c r="A43" s="239">
        <f t="shared" si="3"/>
        <v>202410</v>
      </c>
      <c r="B43" s="240">
        <v>100000</v>
      </c>
      <c r="C43" s="347">
        <f ca="1">tbl_Exh3.1[[#This Row],[Member Months]]*300*(AA43)*tbl_Exh3.1[[#This Row],[Accumulated Adjustments]]+tbl_Exh3.1[[#This Row],[One-Time Adjustment for High Claims (Non-Predictive Claims)]]+tbl_Exh3.1[[#This Row],[One-Time Adjustment for HCRP Receipts]]</f>
        <v>37294945.095735431</v>
      </c>
      <c r="D43" s="241">
        <f t="shared" si="0"/>
        <v>0.98499999999999999</v>
      </c>
      <c r="E43" s="353">
        <f ca="1">tbl_Exh3.1[[#This Row],[Allowed Claims 
(as of 3/31/2025)]]/tbl_Exh3.1[[#This Row],[Allowed Claims Completion factor (based on IBNP estimates)]]</f>
        <v>37862888.422066428</v>
      </c>
      <c r="F43" s="357"/>
      <c r="G43" s="357"/>
      <c r="H43" s="347">
        <f ca="1">0.01*tbl_Exh3.1[[#This Row],[Ultimate Allowed Claims]]</f>
        <v>378628.88422066427</v>
      </c>
      <c r="I43" s="353">
        <f ca="1">tbl_Exh3.1[[#This Row],[Ultimate Allowed Claims]]-tbl_Exh3.1[[#This Row],[One-Time Adjustment for High Claims (Non-Predictive Claims)]]-tbl_Exh3.1[[#This Row],[One-Time Adjustment for HCRP Receipts]]-tbl_Exh3.1[[#This Row],[Non-EHB Allowed Claims]]</f>
        <v>37484259.537845761</v>
      </c>
      <c r="J43" s="325">
        <f ca="1">tbl_Exh3.1[[#This Row],[Predictive Ultimate Allowed EHB Claims]]/tbl_Exh3.1[[#This Row],[Member Months]]</f>
        <v>374.84259537845759</v>
      </c>
      <c r="K43" s="242">
        <f t="shared" si="13"/>
        <v>1.018</v>
      </c>
      <c r="L43" s="242">
        <f t="shared" si="12"/>
        <v>1.0149999999999999</v>
      </c>
      <c r="M43" s="242">
        <f t="shared" si="12"/>
        <v>0.99</v>
      </c>
      <c r="N43" s="242">
        <f t="shared" si="12"/>
        <v>1.0049999999999999</v>
      </c>
      <c r="O43" s="242">
        <f>PRODUCT(tbl_Exh3.1[[#This Row],[Morbidity Adjustment]:[Other Adjustments]])</f>
        <v>1.0280519864999997</v>
      </c>
      <c r="P43" s="242" cm="1">
        <f t="array" ref="P43">PRODUCT(IF(VALUE(RIGHT(tbl_Exh3.1[Incurred Date (YYYYMM)],2))=VALUE(RIGHT(tbl_Exh3.1[[#This Row],[Incurred Date (YYYYMM)]],2)),IF(VALUE(LEFT(tbl_Exh3.1[Incurred Date (YYYYMM)],4))&lt;=VALUE(LEFT(tbl_Exh3.1[[#This Row],[Incurred Date (YYYYMM)]],4)),tbl_Exh3.1[Combined Adjustment],1),1))</f>
        <v>1.0568908869465956</v>
      </c>
      <c r="Q43" s="242">
        <f>INDEX(tbl_Exh3.1[Accumulated Adjustments],MATCH(VALUE(SUBSTITUTE(tbl_Exh3.1[[#This Row],[Incurred Date (YYYYMM)]],LEFT(tbl_Exh3.1[[#This Row],[Incurred Date (YYYYMM)]],4),ExperYear)),tbl_Exh3.1[Incurred Date (YYYYMM)],0))/tbl_Exh3.1[[#This Row],[Accumulated Adjustments]]</f>
        <v>1</v>
      </c>
      <c r="R43" s="243">
        <f ca="1">tbl_Exh3.1[[#This Row],[Allowable Rating Adjustment Normalization Factor]]*tbl_Exh3.1[[#This Row],[Predictive Ultimate Allowed EHB Claims PMPM]]</f>
        <v>374.84259537845759</v>
      </c>
      <c r="S43" s="254">
        <f t="shared" ca="1" si="10"/>
        <v>0.11589429443121801</v>
      </c>
      <c r="T43" s="254">
        <f t="shared" ca="1" si="11"/>
        <v>8.543945123874841E-2</v>
      </c>
      <c r="U43" s="283"/>
      <c r="V43" s="283"/>
      <c r="W43" s="283"/>
      <c r="X43" s="256">
        <v>202410</v>
      </c>
      <c r="Y43" s="249">
        <f t="shared" si="14"/>
        <v>1.177225</v>
      </c>
      <c r="Z43" s="249">
        <f t="shared" ca="1" si="1"/>
        <v>-9.7790403338376031E-4</v>
      </c>
      <c r="AA43" s="249">
        <f t="shared" ca="1" si="2"/>
        <v>1.1762470959666163</v>
      </c>
      <c r="AB43" s="250"/>
      <c r="AC43" s="250"/>
      <c r="AD43" s="250"/>
    </row>
    <row r="44" spans="1:30" s="238" customFormat="1" ht="15.75" x14ac:dyDescent="0.25">
      <c r="A44" s="239">
        <f t="shared" si="3"/>
        <v>202411</v>
      </c>
      <c r="B44" s="240">
        <v>100000</v>
      </c>
      <c r="C44" s="347">
        <f ca="1">tbl_Exh3.1[[#This Row],[Member Months]]*300*(AA44)*tbl_Exh3.1[[#This Row],[Accumulated Adjustments]]+tbl_Exh3.1[[#This Row],[One-Time Adjustment for High Claims (Non-Predictive Claims)]]+tbl_Exh3.1[[#This Row],[One-Time Adjustment for HCRP Receipts]]</f>
        <v>37257862.565878913</v>
      </c>
      <c r="D44" s="241">
        <f t="shared" si="0"/>
        <v>0.98499999999999999</v>
      </c>
      <c r="E44" s="353">
        <f ca="1">tbl_Exh3.1[[#This Row],[Allowed Claims 
(as of 3/31/2025)]]/tbl_Exh3.1[[#This Row],[Allowed Claims Completion factor (based on IBNP estimates)]]</f>
        <v>37825241.183633417</v>
      </c>
      <c r="F44" s="357"/>
      <c r="G44" s="357"/>
      <c r="H44" s="347">
        <f ca="1">0.01*tbl_Exh3.1[[#This Row],[Ultimate Allowed Claims]]</f>
        <v>378252.41183633415</v>
      </c>
      <c r="I44" s="353">
        <f ca="1">tbl_Exh3.1[[#This Row],[Ultimate Allowed Claims]]-tbl_Exh3.1[[#This Row],[One-Time Adjustment for High Claims (Non-Predictive Claims)]]-tbl_Exh3.1[[#This Row],[One-Time Adjustment for HCRP Receipts]]-tbl_Exh3.1[[#This Row],[Non-EHB Allowed Claims]]</f>
        <v>37446988.771797083</v>
      </c>
      <c r="J44" s="325">
        <f ca="1">tbl_Exh3.1[[#This Row],[Predictive Ultimate Allowed EHB Claims]]/tbl_Exh3.1[[#This Row],[Member Months]]</f>
        <v>374.46988771797083</v>
      </c>
      <c r="K44" s="242">
        <f t="shared" si="13"/>
        <v>1.018</v>
      </c>
      <c r="L44" s="242">
        <f t="shared" si="12"/>
        <v>1.0149999999999999</v>
      </c>
      <c r="M44" s="242">
        <f t="shared" si="12"/>
        <v>0.99</v>
      </c>
      <c r="N44" s="242">
        <f t="shared" si="12"/>
        <v>1.0049999999999999</v>
      </c>
      <c r="O44" s="242">
        <f>PRODUCT(tbl_Exh3.1[[#This Row],[Morbidity Adjustment]:[Other Adjustments]])</f>
        <v>1.0280519864999997</v>
      </c>
      <c r="P44" s="242" cm="1">
        <f t="array" ref="P44">PRODUCT(IF(VALUE(RIGHT(tbl_Exh3.1[Incurred Date (YYYYMM)],2))=VALUE(RIGHT(tbl_Exh3.1[[#This Row],[Incurred Date (YYYYMM)]],2)),IF(VALUE(LEFT(tbl_Exh3.1[Incurred Date (YYYYMM)],4))&lt;=VALUE(LEFT(tbl_Exh3.1[[#This Row],[Incurred Date (YYYYMM)]],4)),tbl_Exh3.1[Combined Adjustment],1),1))</f>
        <v>1.0568908869465956</v>
      </c>
      <c r="Q44" s="242">
        <f>INDEX(tbl_Exh3.1[Accumulated Adjustments],MATCH(VALUE(SUBSTITUTE(tbl_Exh3.1[[#This Row],[Incurred Date (YYYYMM)]],LEFT(tbl_Exh3.1[[#This Row],[Incurred Date (YYYYMM)]],4),ExperYear)),tbl_Exh3.1[Incurred Date (YYYYMM)],0))/tbl_Exh3.1[[#This Row],[Accumulated Adjustments]]</f>
        <v>1</v>
      </c>
      <c r="R44" s="243">
        <f ca="1">tbl_Exh3.1[[#This Row],[Allowable Rating Adjustment Normalization Factor]]*tbl_Exh3.1[[#This Row],[Predictive Ultimate Allowed EHB Claims PMPM]]</f>
        <v>374.46988771797083</v>
      </c>
      <c r="S44" s="254">
        <f t="shared" ca="1" si="10"/>
        <v>0.11561182644813761</v>
      </c>
      <c r="T44" s="254">
        <f t="shared" ca="1" si="11"/>
        <v>8.5162488616363996E-2</v>
      </c>
      <c r="U44" s="283"/>
      <c r="V44" s="283"/>
      <c r="W44" s="283"/>
      <c r="X44" s="256">
        <v>202411</v>
      </c>
      <c r="Y44" s="249">
        <f t="shared" si="14"/>
        <v>1.177225</v>
      </c>
      <c r="Z44" s="249">
        <f t="shared" ca="1" si="1"/>
        <v>-2.1474517547401114E-3</v>
      </c>
      <c r="AA44" s="249">
        <f t="shared" ca="1" si="2"/>
        <v>1.1750775482452598</v>
      </c>
      <c r="AB44" s="250"/>
      <c r="AC44" s="250"/>
      <c r="AD44" s="250"/>
    </row>
    <row r="45" spans="1:30" s="238" customFormat="1" ht="15.75" x14ac:dyDescent="0.25">
      <c r="A45" s="257">
        <f>(ExperYear&amp;"12")*1</f>
        <v>202412</v>
      </c>
      <c r="B45" s="240">
        <v>100000</v>
      </c>
      <c r="C45" s="347">
        <f ca="1">tbl_Exh3.1[[#This Row],[Member Months]]*300*(AA45)*tbl_Exh3.1[[#This Row],[Accumulated Adjustments]]+tbl_Exh3.1[[#This Row],[One-Time Adjustment for High Claims (Non-Predictive Claims)]]+tbl_Exh3.1[[#This Row],[One-Time Adjustment for HCRP Receipts]]</f>
        <v>37313405.157479025</v>
      </c>
      <c r="D45" s="258">
        <f t="shared" si="0"/>
        <v>0.98499999999999999</v>
      </c>
      <c r="E45" s="353">
        <f ca="1">tbl_Exh3.1[[#This Row],[Allowed Claims 
(as of 3/31/2025)]]/tbl_Exh3.1[[#This Row],[Allowed Claims Completion factor (based on IBNP estimates)]]</f>
        <v>37881629.601501547</v>
      </c>
      <c r="F45" s="363"/>
      <c r="G45" s="363"/>
      <c r="H45" s="356">
        <f ca="1">0.01*tbl_Exh3.1[[#This Row],[Ultimate Allowed Claims]]</f>
        <v>378816.29601501545</v>
      </c>
      <c r="I45" s="353">
        <f ca="1">tbl_Exh3.1[[#This Row],[Ultimate Allowed Claims]]-tbl_Exh3.1[[#This Row],[One-Time Adjustment for High Claims (Non-Predictive Claims)]]-tbl_Exh3.1[[#This Row],[One-Time Adjustment for HCRP Receipts]]-tbl_Exh3.1[[#This Row],[Non-EHB Allowed Claims]]</f>
        <v>37502813.30548653</v>
      </c>
      <c r="J45" s="326">
        <f ca="1">tbl_Exh3.1[[#This Row],[Predictive Ultimate Allowed EHB Claims]]/tbl_Exh3.1[[#This Row],[Member Months]]</f>
        <v>375.02813305486529</v>
      </c>
      <c r="K45" s="242">
        <f t="shared" si="13"/>
        <v>1.018</v>
      </c>
      <c r="L45" s="242">
        <f t="shared" si="12"/>
        <v>1.0149999999999999</v>
      </c>
      <c r="M45" s="242">
        <f t="shared" si="12"/>
        <v>0.99</v>
      </c>
      <c r="N45" s="242">
        <f t="shared" si="12"/>
        <v>1.0049999999999999</v>
      </c>
      <c r="O45" s="259">
        <f>PRODUCT(tbl_Exh3.1[[#This Row],[Morbidity Adjustment]:[Other Adjustments]])</f>
        <v>1.0280519864999997</v>
      </c>
      <c r="P45" s="259" cm="1">
        <f t="array" ref="P45">PRODUCT(IF(VALUE(RIGHT(tbl_Exh3.1[Incurred Date (YYYYMM)],2))=VALUE(RIGHT(tbl_Exh3.1[[#This Row],[Incurred Date (YYYYMM)]],2)),IF(VALUE(LEFT(tbl_Exh3.1[Incurred Date (YYYYMM)],4))&lt;=VALUE(LEFT(tbl_Exh3.1[[#This Row],[Incurred Date (YYYYMM)]],4)),tbl_Exh3.1[Combined Adjustment],1),1))</f>
        <v>1.0568908869465956</v>
      </c>
      <c r="Q45" s="259">
        <f>INDEX(tbl_Exh3.1[Accumulated Adjustments],MATCH(VALUE(SUBSTITUTE(tbl_Exh3.1[[#This Row],[Incurred Date (YYYYMM)]],LEFT(tbl_Exh3.1[[#This Row],[Incurred Date (YYYYMM)]],4),ExperYear)),tbl_Exh3.1[Incurred Date (YYYYMM)],0))/tbl_Exh3.1[[#This Row],[Accumulated Adjustments]]</f>
        <v>1</v>
      </c>
      <c r="R45" s="260">
        <f ca="1">tbl_Exh3.1[[#This Row],[Allowable Rating Adjustment Normalization Factor]]*tbl_Exh3.1[[#This Row],[Predictive Ultimate Allowed EHB Claims PMPM]]</f>
        <v>375.02813305486529</v>
      </c>
      <c r="S45" s="254">
        <f t="shared" ca="1" si="10"/>
        <v>0.1162718062228969</v>
      </c>
      <c r="T45" s="254">
        <f t="shared" ca="1" si="11"/>
        <v>8.5812605667191511E-2</v>
      </c>
      <c r="U45" s="283"/>
      <c r="V45" s="283"/>
      <c r="W45" s="283"/>
      <c r="X45" s="255">
        <v>202412</v>
      </c>
      <c r="Y45" s="247">
        <f t="shared" si="14"/>
        <v>1.177225</v>
      </c>
      <c r="Z45" s="247">
        <f t="shared" ca="1" si="1"/>
        <v>-3.9569124391503177E-4</v>
      </c>
      <c r="AA45" s="247">
        <f t="shared" ca="1" si="2"/>
        <v>1.1768293087560848</v>
      </c>
      <c r="AB45" s="247">
        <f>AVERAGE(Y34:Y45)</f>
        <v>1.177225</v>
      </c>
      <c r="AC45" s="247">
        <f t="shared" ref="AC45:AD45" ca="1" si="15">AVERAGE(Z34:Z45)</f>
        <v>-2.21754610314698E-3</v>
      </c>
      <c r="AD45" s="247">
        <f t="shared" ca="1" si="15"/>
        <v>1.1750074538968529</v>
      </c>
    </row>
    <row r="46" spans="1:30" s="82" customFormat="1" ht="15.75" x14ac:dyDescent="0.25">
      <c r="X46" s="275"/>
      <c r="Y46" s="275"/>
      <c r="Z46" s="275"/>
      <c r="AA46" s="275"/>
      <c r="AB46" s="231"/>
      <c r="AC46" s="231"/>
      <c r="AD46" s="231"/>
    </row>
    <row r="47" spans="1:30" s="82" customFormat="1" ht="21" x14ac:dyDescent="0.35">
      <c r="A47" s="271" t="s">
        <v>127</v>
      </c>
      <c r="X47" s="275"/>
      <c r="Y47" s="275"/>
      <c r="Z47" s="275"/>
      <c r="AA47" s="275"/>
      <c r="AB47" s="275"/>
      <c r="AC47" s="275"/>
      <c r="AD47" s="275"/>
    </row>
    <row r="48" spans="1:30" s="82" customFormat="1" ht="123" customHeight="1" x14ac:dyDescent="0.25">
      <c r="A48" s="321" t="s">
        <v>128</v>
      </c>
      <c r="B48" s="322" t="s">
        <v>129</v>
      </c>
      <c r="C48" s="318" t="s">
        <v>130</v>
      </c>
      <c r="D48" s="490" t="s">
        <v>268</v>
      </c>
      <c r="E48" s="322" t="s">
        <v>132</v>
      </c>
      <c r="F48" s="318" t="s">
        <v>133</v>
      </c>
      <c r="G48" s="318" t="s">
        <v>134</v>
      </c>
      <c r="H48" s="318" t="s">
        <v>135</v>
      </c>
      <c r="I48" s="322" t="s">
        <v>251</v>
      </c>
      <c r="J48" s="322" t="s">
        <v>252</v>
      </c>
      <c r="O48" s="274"/>
      <c r="X48" s="275"/>
      <c r="Y48" s="275"/>
      <c r="Z48" s="275"/>
      <c r="AA48" s="275"/>
      <c r="AB48" s="275"/>
      <c r="AC48" s="275"/>
      <c r="AD48" s="275"/>
    </row>
    <row r="49" spans="1:30" s="82" customFormat="1" ht="15.75" x14ac:dyDescent="0.25">
      <c r="A49" s="425">
        <v>2022</v>
      </c>
      <c r="B49" s="268" cm="1">
        <f t="array" ref="B49">SUMPRODUCT((ROUNDDOWN(tbl_Exh3.1[Incurred Date (YYYYMM)]/100,0)=$A49)*tbl_Exh3.1[Member Months])</f>
        <v>1200000</v>
      </c>
      <c r="C49" s="353" cm="1">
        <f t="array" aca="1" ref="C49" ca="1">SUMPRODUCT((ROUNDDOWN(tbl_Exh3.1[Incurred Date (YYYYMM)]/100,0)=A49)*tbl_Exh3.1[Allowed Claims 
(as of 3/31/2025)])</f>
        <v>359282996.2913121</v>
      </c>
      <c r="D49" s="488"/>
      <c r="E49" s="353" cm="1">
        <f t="array" aca="1" ref="E49" ca="1">SUMPRODUCT((ROUNDDOWN(tbl_Exh3.1[Incurred Date (YYYYMM)]/100,0)=A49)*tbl_Exh3.1[Ultimate Allowed Claims])</f>
        <v>364754310.95564675</v>
      </c>
      <c r="F49" s="353" cm="1">
        <f t="array" ref="F49">SUMPRODUCT((ROUNDDOWN(tbl_Exh3.1[Incurred Date (YYYYMM)]/100,0)=A49)*tbl_Exh3.1[One-Time Adjustment for High Claims (Non-Predictive Claims)])</f>
        <v>50000</v>
      </c>
      <c r="G49" s="353" cm="1">
        <f t="array" ref="G49">SUMPRODUCT((ROUNDDOWN(tbl_Exh3.1[Incurred Date (YYYYMM)]/100,0)=A49)*tbl_Exh3.1[One-Time Adjustment for HCRP Receipts])</f>
        <v>0</v>
      </c>
      <c r="H49" s="353" cm="1">
        <f t="array" aca="1" ref="H49" ca="1">SUMPRODUCT((ROUNDDOWN(tbl_Exh3.1[Incurred Date (YYYYMM)]/100,0)=A49)*tbl_Exh3.1[Non-EHB Allowed Claims])</f>
        <v>3647543.1095564673</v>
      </c>
      <c r="I49" s="353" cm="1">
        <f t="array" aca="1" ref="I49" ca="1">SUMPRODUCT((ROUNDDOWN(tbl_Exh3.1[Incurred Date (YYYYMM)]/100,0)=A49)*tbl_Exh3.1[Predictive Ultimate Allowed EHB Claims])</f>
        <v>361056767.84609032</v>
      </c>
      <c r="J49" s="421">
        <f ca="1">tbl_Exh3.2[[#This Row],[Total Predictive Ultimate Allowed EHB Claims]]/tbl_Exh3.2[[#This Row],[Total Member Months]]</f>
        <v>300.88063987174195</v>
      </c>
      <c r="X49" s="255">
        <v>2022</v>
      </c>
      <c r="Y49" s="276">
        <f>AVERAGE(Y10:Y21)-1</f>
        <v>0</v>
      </c>
      <c r="Z49" s="276">
        <f ca="1">AVERAGE(Z10:Z21)</f>
        <v>-2.1305658574665605E-3</v>
      </c>
      <c r="AA49" s="276">
        <f ca="1">AVERAGE(AA10:AA21)-1</f>
        <v>-2.1305658574665154E-3</v>
      </c>
      <c r="AB49" s="275"/>
      <c r="AC49" s="275"/>
      <c r="AD49" s="275"/>
    </row>
    <row r="50" spans="1:30" s="82" customFormat="1" ht="15.75" x14ac:dyDescent="0.25">
      <c r="A50" s="425">
        <v>2023</v>
      </c>
      <c r="B50" s="268" cm="1">
        <f t="array" ref="B50">SUMPRODUCT((ROUNDDOWN(tbl_Exh3.1[Incurred Date (YYYYMM)]/100,0)=$A50)*tbl_Exh3.1[Member Months])</f>
        <v>1200000</v>
      </c>
      <c r="C50" s="353" cm="1">
        <f t="array" aca="1" ref="C50" ca="1">SUMPRODUCT((ROUNDDOWN(tbl_Exh3.1[Incurred Date (YYYYMM)]/100,0)=A50)*tbl_Exh3.1[Allowed Claims 
(as of 3/31/2025)])</f>
        <v>402092656.33333164</v>
      </c>
      <c r="D50" s="488"/>
      <c r="E50" s="353" cm="1">
        <f t="array" aca="1" ref="E50" ca="1">SUMPRODUCT((ROUNDDOWN(tbl_Exh3.1[Incurred Date (YYYYMM)]/100,0)=A50)*tbl_Exh3.1[Ultimate Allowed Claims])</f>
        <v>408215894.75465143</v>
      </c>
      <c r="F50" s="353" cm="1">
        <f t="array" ref="F50">SUMPRODUCT((ROUNDDOWN(tbl_Exh3.1[Incurred Date (YYYYMM)]/100,0)=A50)*tbl_Exh3.1[One-Time Adjustment for High Claims (Non-Predictive Claims)])</f>
        <v>100000</v>
      </c>
      <c r="G50" s="353" cm="1">
        <f t="array" ref="G50">SUMPRODUCT((ROUNDDOWN(tbl_Exh3.1[Incurred Date (YYYYMM)]/100,0)=A50)*tbl_Exh3.1[One-Time Adjustment for HCRP Receipts])</f>
        <v>1500000</v>
      </c>
      <c r="H50" s="353" cm="1">
        <f t="array" aca="1" ref="H50" ca="1">SUMPRODUCT((ROUNDDOWN(tbl_Exh3.1[Incurred Date (YYYYMM)]/100,0)=A50)*tbl_Exh3.1[Non-EHB Allowed Claims])</f>
        <v>4082158.9475465147</v>
      </c>
      <c r="I50" s="353" cm="1">
        <f t="array" aca="1" ref="I50" ca="1">SUMPRODUCT((ROUNDDOWN(tbl_Exh3.1[Incurred Date (YYYYMM)]/100,0)=A50)*tbl_Exh3.1[Predictive Ultimate Allowed EHB Claims])</f>
        <v>402533735.80710489</v>
      </c>
      <c r="J50" s="422">
        <f ca="1">tbl_Exh3.2[[#This Row],[Total Predictive Ultimate Allowed EHB Claims]]/tbl_Exh3.2[[#This Row],[Total Member Months]]</f>
        <v>335.44477983925407</v>
      </c>
      <c r="X50" s="255">
        <v>2023</v>
      </c>
      <c r="Y50" s="276">
        <f>AVERAGE(Y22:Y33)-1</f>
        <v>8.5000000000000187E-2</v>
      </c>
      <c r="Z50" s="276">
        <f ca="1">AVERAGE(Z22:Z33)</f>
        <v>-2.8761234503762154E-3</v>
      </c>
      <c r="AA50" s="276">
        <f ca="1">AVERAGE(AA22:AA33)-1</f>
        <v>8.2123876549623942E-2</v>
      </c>
      <c r="AB50" s="275"/>
      <c r="AC50" s="275"/>
      <c r="AD50" s="275"/>
    </row>
    <row r="51" spans="1:30" s="82" customFormat="1" ht="15.75" x14ac:dyDescent="0.25">
      <c r="A51" s="426">
        <v>2024</v>
      </c>
      <c r="B51" s="269" cm="1">
        <f t="array" ref="B51">SUMPRODUCT((ROUNDDOWN(tbl_Exh3.1[Incurred Date (YYYYMM)]/100,0)=$A51)*tbl_Exh3.1[Member Months])</f>
        <v>1200000</v>
      </c>
      <c r="C51" s="424" cm="1">
        <f t="array" aca="1" ref="C51" ca="1">SUMPRODUCT((ROUNDDOWN(tbl_Exh3.1[Incurred Date (YYYYMM)]/100,0)=A51)*tbl_Exh3.1[Allowed Claims 
(as of 3/31/2025)])</f>
        <v>447067681.24244624</v>
      </c>
      <c r="D51" s="489"/>
      <c r="E51" s="424" cm="1">
        <f t="array" aca="1" ref="E51" ca="1">SUMPRODUCT((ROUNDDOWN(tbl_Exh3.1[Incurred Date (YYYYMM)]/100,0)=A51)*tbl_Exh3.1[Ultimate Allowed Claims])</f>
        <v>453875818.5202499</v>
      </c>
      <c r="F51" s="424" cm="1">
        <f t="array" ref="F51">SUMPRODUCT((ROUNDDOWN(tbl_Exh3.1[Incurred Date (YYYYMM)]/100,0)=A51)*tbl_Exh3.1[One-Time Adjustment for High Claims (Non-Predictive Claims)])</f>
        <v>0</v>
      </c>
      <c r="G51" s="424" cm="1">
        <f t="array" ref="G51">SUMPRODUCT((ROUNDDOWN(tbl_Exh3.1[Incurred Date (YYYYMM)]/100,0)=A51)*tbl_Exh3.1[One-Time Adjustment for HCRP Receipts])</f>
        <v>0</v>
      </c>
      <c r="H51" s="424" cm="1">
        <f t="array" aca="1" ref="H51" ca="1">SUMPRODUCT((ROUNDDOWN(tbl_Exh3.1[Incurred Date (YYYYMM)]/100,0)=A51)*tbl_Exh3.1[Non-EHB Allowed Claims])</f>
        <v>4538758.1852024989</v>
      </c>
      <c r="I51" s="424" cm="1">
        <f t="array" aca="1" ref="I51" ca="1">SUMPRODUCT((ROUNDDOWN(tbl_Exh3.1[Incurred Date (YYYYMM)]/100,0)=A51)*tbl_Exh3.1[Predictive Ultimate Allowed EHB Claims])</f>
        <v>449337060.33504736</v>
      </c>
      <c r="J51" s="423">
        <f ca="1">tbl_Exh3.2[[#This Row],[Total Predictive Ultimate Allowed EHB Claims]]/tbl_Exh3.2[[#This Row],[Total Member Months]]</f>
        <v>374.44755027920615</v>
      </c>
      <c r="X51" s="255">
        <v>2021</v>
      </c>
      <c r="Y51" s="276" cm="1">
        <f t="array" ref="Y51">AVERAGE(Y34:Y45^0.5)-1</f>
        <v>8.5000000000000187E-2</v>
      </c>
      <c r="Z51" s="276">
        <f ca="1">AVERAGE(Z34:Z45)</f>
        <v>-2.21754610314698E-3</v>
      </c>
      <c r="AA51" s="276" cm="1">
        <f t="array" aca="1" ref="AA51" ca="1">AVERAGE(AA34:AA45^0.5)-1</f>
        <v>8.3977367240455569E-2</v>
      </c>
      <c r="AB51" s="275"/>
      <c r="AC51" s="275"/>
      <c r="AD51" s="275"/>
    </row>
    <row r="52" spans="1:30" s="82" customFormat="1" ht="15.75" x14ac:dyDescent="0.25">
      <c r="B52" s="267"/>
      <c r="C52" s="267"/>
      <c r="J52"/>
      <c r="X52" s="231"/>
      <c r="Y52" s="231"/>
      <c r="Z52" s="231"/>
      <c r="AA52" s="231"/>
      <c r="AB52" s="275"/>
      <c r="AC52" s="275"/>
      <c r="AD52" s="275"/>
    </row>
    <row r="53" spans="1:30" s="82" customFormat="1" ht="21.75" thickBot="1" x14ac:dyDescent="0.4">
      <c r="A53" s="131" t="s">
        <v>49</v>
      </c>
      <c r="B53" s="131"/>
      <c r="C53" s="131"/>
      <c r="D53" s="132"/>
      <c r="E53" s="132"/>
      <c r="F53" s="132"/>
      <c r="G53" s="132"/>
      <c r="H53" s="132"/>
      <c r="I53" s="132"/>
      <c r="J53" s="132"/>
      <c r="K53" s="132"/>
      <c r="L53" s="132"/>
      <c r="M53" s="132"/>
      <c r="N53" s="132"/>
      <c r="O53" s="132"/>
      <c r="P53" s="132"/>
      <c r="X53" s="253"/>
      <c r="Y53" s="253"/>
      <c r="Z53" s="253"/>
      <c r="AA53" s="231"/>
      <c r="AB53" s="231"/>
      <c r="AC53" s="231"/>
      <c r="AD53" s="231"/>
    </row>
    <row r="54" spans="1:30" s="82" customFormat="1" ht="16.5" thickTop="1" x14ac:dyDescent="0.25">
      <c r="X54" s="231"/>
      <c r="Y54" s="231"/>
      <c r="Z54" s="231"/>
      <c r="AA54" s="275"/>
      <c r="AB54" s="231"/>
      <c r="AC54" s="231"/>
      <c r="AD54" s="231"/>
    </row>
    <row r="55" spans="1:30" s="82" customFormat="1" ht="15.75" x14ac:dyDescent="0.25">
      <c r="A55" s="600"/>
      <c r="B55" s="600"/>
      <c r="C55" s="600"/>
      <c r="D55" s="600"/>
      <c r="E55" s="600"/>
      <c r="F55" s="600"/>
      <c r="G55" s="600"/>
      <c r="H55" s="600"/>
      <c r="I55" s="600"/>
      <c r="J55" s="600"/>
      <c r="K55" s="600"/>
      <c r="L55" s="600"/>
      <c r="M55" s="600"/>
      <c r="N55" s="600"/>
      <c r="O55" s="600"/>
      <c r="P55" s="600"/>
      <c r="AA55"/>
    </row>
    <row r="56" spans="1:30" s="82" customFormat="1" ht="15.75" x14ac:dyDescent="0.25">
      <c r="A56" s="600"/>
      <c r="B56" s="600"/>
      <c r="C56" s="600"/>
      <c r="D56" s="600"/>
      <c r="E56" s="600"/>
      <c r="F56" s="600"/>
      <c r="G56" s="600"/>
      <c r="H56" s="600"/>
      <c r="I56" s="600"/>
      <c r="J56" s="600"/>
      <c r="K56" s="600"/>
      <c r="L56" s="600"/>
      <c r="M56" s="600"/>
      <c r="N56" s="600"/>
      <c r="O56" s="600"/>
      <c r="P56" s="600"/>
      <c r="AA56"/>
    </row>
    <row r="57" spans="1:30" s="82" customFormat="1" ht="15.75" x14ac:dyDescent="0.25">
      <c r="A57" s="600"/>
      <c r="B57" s="600"/>
      <c r="C57" s="600"/>
      <c r="D57" s="600"/>
      <c r="E57" s="600"/>
      <c r="F57" s="600"/>
      <c r="G57" s="600"/>
      <c r="H57" s="600"/>
      <c r="I57" s="600"/>
      <c r="J57" s="600"/>
      <c r="K57" s="600"/>
      <c r="L57" s="600"/>
      <c r="M57" s="600"/>
      <c r="N57" s="600"/>
      <c r="O57" s="600"/>
      <c r="P57" s="600"/>
      <c r="AA57"/>
    </row>
    <row r="58" spans="1:30" s="82" customFormat="1" ht="15.75" x14ac:dyDescent="0.25">
      <c r="A58" s="600"/>
      <c r="B58" s="600"/>
      <c r="C58" s="600"/>
      <c r="D58" s="600"/>
      <c r="E58" s="600"/>
      <c r="F58" s="600"/>
      <c r="G58" s="600"/>
      <c r="H58" s="600"/>
      <c r="I58" s="600"/>
      <c r="J58" s="600"/>
      <c r="K58" s="600"/>
      <c r="L58" s="600"/>
      <c r="M58" s="600"/>
      <c r="N58" s="600"/>
      <c r="O58" s="600"/>
      <c r="P58" s="600"/>
      <c r="AA58"/>
    </row>
    <row r="59" spans="1:30" s="82" customFormat="1" ht="15.75" x14ac:dyDescent="0.25">
      <c r="A59" s="600"/>
      <c r="B59" s="600"/>
      <c r="C59" s="600"/>
      <c r="D59" s="600"/>
      <c r="E59" s="600"/>
      <c r="F59" s="600"/>
      <c r="G59" s="600"/>
      <c r="H59" s="600"/>
      <c r="I59" s="600"/>
      <c r="J59" s="600"/>
      <c r="K59" s="600"/>
      <c r="L59" s="600"/>
      <c r="M59" s="600"/>
      <c r="N59" s="600"/>
      <c r="O59" s="600"/>
      <c r="P59" s="600"/>
      <c r="AA59"/>
    </row>
    <row r="60" spans="1:30" s="82" customFormat="1" ht="15.75" x14ac:dyDescent="0.25">
      <c r="A60" s="600"/>
      <c r="B60" s="600"/>
      <c r="C60" s="600"/>
      <c r="D60" s="600"/>
      <c r="E60" s="600"/>
      <c r="F60" s="600"/>
      <c r="G60" s="600"/>
      <c r="H60" s="600"/>
      <c r="I60" s="600"/>
      <c r="J60" s="600"/>
      <c r="K60" s="600"/>
      <c r="L60" s="600"/>
      <c r="M60" s="600"/>
      <c r="N60" s="600"/>
      <c r="O60" s="600"/>
      <c r="P60" s="600"/>
      <c r="AA60"/>
    </row>
    <row r="61" spans="1:30" s="82" customFormat="1" ht="15.75" x14ac:dyDescent="0.25">
      <c r="A61" s="600"/>
      <c r="B61" s="600"/>
      <c r="C61" s="600"/>
      <c r="D61" s="600"/>
      <c r="E61" s="600"/>
      <c r="F61" s="600"/>
      <c r="G61" s="600"/>
      <c r="H61" s="600"/>
      <c r="I61" s="600"/>
      <c r="J61" s="600"/>
      <c r="K61" s="600"/>
      <c r="L61" s="600"/>
      <c r="M61" s="600"/>
      <c r="N61" s="600"/>
      <c r="O61" s="600"/>
      <c r="P61" s="600"/>
      <c r="AA61"/>
    </row>
    <row r="62" spans="1:30" s="82" customFormat="1" ht="15.75" x14ac:dyDescent="0.25">
      <c r="A62" s="600"/>
      <c r="B62" s="600"/>
      <c r="C62" s="600"/>
      <c r="D62" s="600"/>
      <c r="E62" s="600"/>
      <c r="F62" s="600"/>
      <c r="G62" s="600"/>
      <c r="H62" s="600"/>
      <c r="I62" s="600"/>
      <c r="J62" s="600"/>
      <c r="K62" s="600"/>
      <c r="L62" s="600"/>
      <c r="M62" s="600"/>
      <c r="N62" s="600"/>
      <c r="O62" s="600"/>
      <c r="P62" s="600"/>
      <c r="AA62"/>
    </row>
    <row r="63" spans="1:30" s="82" customFormat="1" ht="15.75" x14ac:dyDescent="0.25">
      <c r="A63" s="600"/>
      <c r="B63" s="600"/>
      <c r="C63" s="600"/>
      <c r="D63" s="600"/>
      <c r="E63" s="600"/>
      <c r="F63" s="600"/>
      <c r="G63" s="600"/>
      <c r="H63" s="600"/>
      <c r="I63" s="600"/>
      <c r="J63" s="600"/>
      <c r="K63" s="600"/>
      <c r="L63" s="600"/>
      <c r="M63" s="600"/>
      <c r="N63" s="600"/>
      <c r="O63" s="600"/>
      <c r="P63" s="600"/>
      <c r="AA63"/>
    </row>
    <row r="64" spans="1:30" s="82" customFormat="1" ht="15.75" x14ac:dyDescent="0.25">
      <c r="A64" s="600"/>
      <c r="B64" s="600"/>
      <c r="C64" s="600"/>
      <c r="D64" s="600"/>
      <c r="E64" s="600"/>
      <c r="F64" s="600"/>
      <c r="G64" s="600"/>
      <c r="H64" s="600"/>
      <c r="I64" s="600"/>
      <c r="J64" s="600"/>
      <c r="K64" s="600"/>
      <c r="L64" s="600"/>
      <c r="M64" s="600"/>
      <c r="N64" s="600"/>
      <c r="O64" s="600"/>
      <c r="P64" s="600"/>
      <c r="AA64"/>
    </row>
    <row r="65" spans="27:27" s="82" customFormat="1" ht="15.75" x14ac:dyDescent="0.25">
      <c r="AA65"/>
    </row>
    <row r="66" spans="27:27" s="82" customFormat="1" ht="15.75" x14ac:dyDescent="0.25">
      <c r="AA66"/>
    </row>
    <row r="67" spans="27:27" s="82" customFormat="1" ht="15.75" x14ac:dyDescent="0.25">
      <c r="AA67"/>
    </row>
    <row r="68" spans="27:27" s="82" customFormat="1" ht="15.75" x14ac:dyDescent="0.25">
      <c r="AA68"/>
    </row>
  </sheetData>
  <mergeCells count="14">
    <mergeCell ref="A62:P62"/>
    <mergeCell ref="A63:P63"/>
    <mergeCell ref="A64:P64"/>
    <mergeCell ref="A55:P55"/>
    <mergeCell ref="A56:P56"/>
    <mergeCell ref="A57:P57"/>
    <mergeCell ref="A58:P58"/>
    <mergeCell ref="A59:P59"/>
    <mergeCell ref="A60:P60"/>
    <mergeCell ref="C3:L3"/>
    <mergeCell ref="C4:L4"/>
    <mergeCell ref="C5:L5"/>
    <mergeCell ref="C6:L6"/>
    <mergeCell ref="A61:P61"/>
  </mergeCells>
  <phoneticPr fontId="36" type="noConversion"/>
  <printOptions horizontalCentered="1"/>
  <pageMargins left="0.25" right="0.25" top="0.75" bottom="0.75" header="0.25" footer="0.25"/>
  <pageSetup scale="34" orientation="landscape" horizontalDpi="1200" verticalDpi="1200" r:id="rId1"/>
  <headerFooter>
    <oddFooter>&amp;L2026 IND &amp;&amp; SG ACA MEDICAL RATE FILINGS -- COMMON EXHIBITS&amp;R03/21/2025</oddFooter>
  </headerFooter>
  <ignoredErrors>
    <ignoredError sqref="K10:N22 L34:N34 K23:N33 K35:N45" calculatedColumn="1"/>
  </ignoredErrors>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8EA6-A23E-4F5B-882B-F3B1092DAD6E}">
  <sheetPr>
    <tabColor theme="0" tint="-0.499984740745262"/>
    <pageSetUpPr fitToPage="1"/>
  </sheetPr>
  <dimension ref="A1:AD69"/>
  <sheetViews>
    <sheetView showGridLines="0" zoomScale="70" zoomScaleNormal="70" workbookViewId="0">
      <pane xSplit="1" ySplit="7" topLeftCell="B8" activePane="bottomRight" state="frozen"/>
      <selection pane="topRight"/>
      <selection pane="bottomLeft"/>
      <selection pane="bottomRight"/>
    </sheetView>
  </sheetViews>
  <sheetFormatPr defaultColWidth="18.7109375" defaultRowHeight="15" x14ac:dyDescent="0.25"/>
  <cols>
    <col min="1" max="1" width="19.7109375" customWidth="1"/>
    <col min="2" max="2" width="20.42578125" customWidth="1"/>
    <col min="3" max="3" width="21.5703125" customWidth="1"/>
    <col min="4" max="4" width="21.28515625" customWidth="1"/>
    <col min="5" max="5" width="19.5703125" customWidth="1"/>
    <col min="9" max="9" width="22" customWidth="1"/>
    <col min="10" max="10" width="19.85546875" customWidth="1"/>
    <col min="12" max="12" width="20.5703125" customWidth="1"/>
    <col min="16" max="16" width="18.7109375" customWidth="1"/>
    <col min="17" max="17" width="20.140625" customWidth="1"/>
    <col min="18" max="18" width="21.85546875" customWidth="1"/>
    <col min="20" max="20" width="21.28515625" customWidth="1"/>
    <col min="21" max="21" width="3.7109375" customWidth="1"/>
    <col min="22" max="22" width="100.28515625" customWidth="1"/>
    <col min="23" max="23" width="3.7109375" customWidth="1"/>
    <col min="24" max="24" width="21.28515625" customWidth="1"/>
    <col min="25" max="26" width="32" customWidth="1"/>
    <col min="27" max="27" width="27.5703125" customWidth="1"/>
  </cols>
  <sheetData>
    <row r="1" spans="1:30" ht="26.25" x14ac:dyDescent="0.4">
      <c r="A1" s="272" t="s">
        <v>295</v>
      </c>
    </row>
    <row r="2" spans="1:30" ht="21" x14ac:dyDescent="0.35">
      <c r="A2" s="576" t="s">
        <v>73</v>
      </c>
      <c r="B2" s="229"/>
      <c r="C2" s="229"/>
      <c r="D2" s="229"/>
      <c r="E2" s="229"/>
    </row>
    <row r="3" spans="1:30" ht="15.75" x14ac:dyDescent="0.25">
      <c r="A3" s="287" t="s">
        <v>74</v>
      </c>
      <c r="B3" s="229"/>
      <c r="C3" s="229"/>
      <c r="D3" s="229"/>
      <c r="E3" s="229"/>
    </row>
    <row r="4" spans="1:30" ht="21" x14ac:dyDescent="0.35">
      <c r="A4" s="271" t="s">
        <v>10</v>
      </c>
      <c r="B4" s="98"/>
      <c r="C4" s="611" t="s">
        <v>11</v>
      </c>
      <c r="D4" s="612"/>
      <c r="E4" s="612"/>
      <c r="F4" s="612"/>
      <c r="G4" s="612"/>
      <c r="H4" s="612"/>
      <c r="I4" s="612"/>
      <c r="J4" s="612"/>
      <c r="K4" s="612"/>
      <c r="L4" s="612"/>
    </row>
    <row r="5" spans="1:30" ht="21" x14ac:dyDescent="0.35">
      <c r="A5" s="271" t="s">
        <v>0</v>
      </c>
      <c r="B5" s="98"/>
      <c r="C5" s="611" t="s">
        <v>99</v>
      </c>
      <c r="D5" s="612"/>
      <c r="E5" s="612"/>
      <c r="F5" s="612"/>
      <c r="G5" s="612"/>
      <c r="H5" s="612"/>
      <c r="I5" s="612"/>
      <c r="J5" s="612"/>
      <c r="K5" s="612"/>
      <c r="L5" s="612"/>
    </row>
    <row r="6" spans="1:30" ht="21" x14ac:dyDescent="0.35">
      <c r="A6" s="271" t="s">
        <v>12</v>
      </c>
      <c r="B6" s="98"/>
      <c r="C6" s="611">
        <v>2026</v>
      </c>
      <c r="D6" s="612"/>
      <c r="E6" s="612"/>
      <c r="F6" s="612"/>
      <c r="G6" s="612"/>
      <c r="H6" s="612"/>
      <c r="I6" s="612"/>
      <c r="J6" s="612"/>
      <c r="K6" s="612"/>
      <c r="L6" s="612"/>
    </row>
    <row r="7" spans="1:30" ht="21" x14ac:dyDescent="0.35">
      <c r="A7" s="271" t="s">
        <v>13</v>
      </c>
      <c r="B7" s="98"/>
      <c r="C7" s="611">
        <v>2024</v>
      </c>
      <c r="D7" s="612"/>
      <c r="E7" s="612"/>
      <c r="F7" s="612"/>
      <c r="G7" s="612"/>
      <c r="H7" s="612"/>
      <c r="I7" s="612"/>
      <c r="J7" s="612"/>
      <c r="K7" s="612"/>
      <c r="L7" s="612"/>
      <c r="X7" s="230" t="s">
        <v>100</v>
      </c>
      <c r="Y7" s="275"/>
      <c r="Z7" s="275"/>
      <c r="AA7" s="275"/>
      <c r="AB7" s="275"/>
      <c r="AC7" s="275"/>
      <c r="AD7" s="275"/>
    </row>
    <row r="8" spans="1:30" s="82" customFormat="1" ht="15.75" x14ac:dyDescent="0.25">
      <c r="K8"/>
      <c r="L8"/>
      <c r="M8"/>
      <c r="N8"/>
      <c r="O8"/>
      <c r="P8"/>
      <c r="Q8"/>
      <c r="X8" s="231"/>
      <c r="Y8" s="284" t="s">
        <v>101</v>
      </c>
      <c r="Z8" s="284" t="s">
        <v>102</v>
      </c>
      <c r="AA8" s="231"/>
      <c r="AB8" s="231"/>
      <c r="AC8" s="231"/>
      <c r="AD8" s="231"/>
    </row>
    <row r="9" spans="1:30" s="82" customFormat="1" ht="21" x14ac:dyDescent="0.35">
      <c r="A9" s="271" t="s">
        <v>103</v>
      </c>
      <c r="K9" s="364" t="s">
        <v>104</v>
      </c>
      <c r="L9" s="364"/>
      <c r="M9" s="364"/>
      <c r="N9" s="364"/>
      <c r="O9" s="364"/>
      <c r="P9"/>
      <c r="Q9"/>
      <c r="X9" s="231"/>
      <c r="Y9" s="232">
        <v>8.5000000000000006E-2</v>
      </c>
      <c r="Z9" s="232">
        <v>5.0000000000000001E-3</v>
      </c>
      <c r="AA9" s="231"/>
      <c r="AB9" s="231"/>
      <c r="AC9" s="231"/>
      <c r="AD9" s="231"/>
    </row>
    <row r="10" spans="1:30" s="238" customFormat="1" ht="103.5" customHeight="1" x14ac:dyDescent="0.25">
      <c r="A10" s="317" t="s">
        <v>105</v>
      </c>
      <c r="B10" s="318" t="s">
        <v>106</v>
      </c>
      <c r="C10" s="318" t="s">
        <v>107</v>
      </c>
      <c r="D10" s="318" t="s">
        <v>108</v>
      </c>
      <c r="E10" s="318" t="s">
        <v>109</v>
      </c>
      <c r="F10" s="318" t="s">
        <v>110</v>
      </c>
      <c r="G10" s="318" t="s">
        <v>111</v>
      </c>
      <c r="H10" s="318" t="s">
        <v>112</v>
      </c>
      <c r="I10" s="318" t="s">
        <v>113</v>
      </c>
      <c r="J10" s="318" t="s">
        <v>114</v>
      </c>
      <c r="K10" s="319" t="s">
        <v>115</v>
      </c>
      <c r="L10" s="319" t="s">
        <v>116</v>
      </c>
      <c r="M10" s="319" t="s">
        <v>117</v>
      </c>
      <c r="N10" s="319" t="s">
        <v>118</v>
      </c>
      <c r="O10" s="319" t="s">
        <v>119</v>
      </c>
      <c r="P10" s="318" t="s">
        <v>120</v>
      </c>
      <c r="Q10" s="318" t="s">
        <v>121</v>
      </c>
      <c r="R10" s="318" t="s">
        <v>122</v>
      </c>
      <c r="S10" s="320" t="s">
        <v>123</v>
      </c>
      <c r="T10" s="320" t="s">
        <v>124</v>
      </c>
      <c r="X10" s="234" t="s">
        <v>105</v>
      </c>
      <c r="Y10" s="235" t="s">
        <v>125</v>
      </c>
      <c r="Z10" s="235" t="s">
        <v>102</v>
      </c>
      <c r="AA10" s="235" t="s">
        <v>126</v>
      </c>
      <c r="AB10" s="236"/>
      <c r="AC10" s="236"/>
      <c r="AD10" s="237"/>
    </row>
    <row r="11" spans="1:30" s="238" customFormat="1" ht="15.75" x14ac:dyDescent="0.25">
      <c r="A11" s="239">
        <f>IF(RIGHT(A12,2)="01",A12-89,A12-1)*1</f>
        <v>202201</v>
      </c>
      <c r="B11" s="240">
        <v>100000</v>
      </c>
      <c r="C11" s="347">
        <f ca="1">tbl_Exh3.110[[#This Row],[Member Months]]*300*(AA11)*tbl_Exh3.110[[#This Row],[Accumulated Adjustments]]+tbl_Exh3.110[[#This Row],[One-Time Adjustment for High Claims (Non-Predictive Claims)]]+tbl_Exh3.110[[#This Row],[One-Time Adjustment for HCRP Receipts]]</f>
        <v>29926032.829146657</v>
      </c>
      <c r="D11" s="241">
        <f t="shared" ref="D11:D46" si="0">0.985</f>
        <v>0.98499999999999999</v>
      </c>
      <c r="E11" s="353">
        <f ca="1">tbl_Exh3.110[[#This Row],[Allowed Claims 
(as of 3/31/2025)]]/tbl_Exh3.110[[#This Row],[Allowed Claims Completion factor (based on IBNP estimates)]]</f>
        <v>30381759.217407774</v>
      </c>
      <c r="F11" s="357"/>
      <c r="G11" s="357"/>
      <c r="H11" s="347">
        <f ca="1">0.01*tbl_Exh3.110[[#This Row],[Ultimate Allowed Claims]]</f>
        <v>303817.59217407776</v>
      </c>
      <c r="I11" s="353">
        <f ca="1">tbl_Exh3.110[[#This Row],[Ultimate Allowed Claims]]-tbl_Exh3.110[[#This Row],[One-Time Adjustment for High Claims (Non-Predictive Claims)]]-tbl_Exh3.110[[#This Row],[One-Time Adjustment for HCRP Receipts]]-tbl_Exh3.110[[#This Row],[Non-EHB Allowed Claims]]</f>
        <v>30077941.625233695</v>
      </c>
      <c r="J11" s="325">
        <f ca="1">tbl_Exh3.110[[#This Row],[Predictive Ultimate Allowed EHB Claims]]/tbl_Exh3.110[[#This Row],[Member Months]]</f>
        <v>300.77941625233694</v>
      </c>
      <c r="K11" s="242">
        <v>1</v>
      </c>
      <c r="L11" s="242">
        <v>1</v>
      </c>
      <c r="M11" s="242">
        <v>1</v>
      </c>
      <c r="N11" s="242">
        <v>1</v>
      </c>
      <c r="O11" s="242">
        <f>PRODUCT(tbl_Exh3.110[[#This Row],[Morbidity Adjustment]:[Other Adjustments]])</f>
        <v>1</v>
      </c>
      <c r="P11" s="242" cm="1">
        <f t="array" ref="P11">PRODUCT(IF(VALUE(RIGHT(tbl_Exh3.110[Incurred Date (YYYYMM)],2))=VALUE(RIGHT(tbl_Exh3.110[[#This Row],[Incurred Date (YYYYMM)]],2)),IF(VALUE(LEFT(tbl_Exh3.110[Incurred Date (YYYYMM)],4))&lt;=VALUE(LEFT(tbl_Exh3.110[[#This Row],[Incurred Date (YYYYMM)]],4)),tbl_Exh3.110[Combined Adjustment],1),1))</f>
        <v>1</v>
      </c>
      <c r="Q11" s="242">
        <f>INDEX(tbl_Exh3.110[Accumulated Adjustments],MATCH(VALUE(SUBSTITUTE(tbl_Exh3.110[[#This Row],[Incurred Date (YYYYMM)]],LEFT(tbl_Exh3.110[[#This Row],[Incurred Date (YYYYMM)]],4),ExperYear)),tbl_Exh3.110[Incurred Date (YYYYMM)],0))/tbl_Exh3.110[[#This Row],[Accumulated Adjustments]]</f>
        <v>1.0568908869465956</v>
      </c>
      <c r="R11" s="243">
        <f ca="1">tbl_Exh3.110[[#This Row],[Allowable Rating Adjustment Normalization Factor]]*tbl_Exh3.110[[#This Row],[Predictive Ultimate Allowed EHB Claims PMPM]]</f>
        <v>317.89102401821168</v>
      </c>
      <c r="S11" s="244"/>
      <c r="T11" s="245"/>
      <c r="U11" s="283"/>
      <c r="V11" s="283"/>
      <c r="W11" s="283"/>
      <c r="X11" s="246">
        <v>202201</v>
      </c>
      <c r="Y11" s="247">
        <v>1</v>
      </c>
      <c r="Z11" s="247">
        <f t="shared" ref="Z11:Z46" ca="1" si="1">$Z$9*(RAND()*-1)</f>
        <v>-2.4655723617781548E-3</v>
      </c>
      <c r="AA11" s="247">
        <f t="shared" ref="AA11:AA46" ca="1" si="2">Y11+Z11</f>
        <v>0.99753442763822187</v>
      </c>
      <c r="AB11" s="236"/>
      <c r="AC11" s="236"/>
      <c r="AD11" s="236"/>
    </row>
    <row r="12" spans="1:30" s="238" customFormat="1" ht="15.75" x14ac:dyDescent="0.25">
      <c r="A12" s="239">
        <f t="shared" ref="A12:A45" si="3">IF(RIGHT(A13,2)="01",A13-89,A13-1)*1</f>
        <v>202202</v>
      </c>
      <c r="B12" s="240">
        <v>100000</v>
      </c>
      <c r="C12" s="347">
        <f ca="1">tbl_Exh3.110[[#This Row],[Member Months]]*300*(AA12)*tbl_Exh3.110[[#This Row],[Accumulated Adjustments]]+tbl_Exh3.110[[#This Row],[One-Time Adjustment for High Claims (Non-Predictive Claims)]]+tbl_Exh3.110[[#This Row],[One-Time Adjustment for HCRP Receipts]]</f>
        <v>29929168.664609004</v>
      </c>
      <c r="D12" s="241">
        <f t="shared" si="0"/>
        <v>0.98499999999999999</v>
      </c>
      <c r="E12" s="353">
        <f ca="1">tbl_Exh3.110[[#This Row],[Allowed Claims 
(as of 3/31/2025)]]/tbl_Exh3.110[[#This Row],[Allowed Claims Completion factor (based on IBNP estimates)]]</f>
        <v>30384942.806709647</v>
      </c>
      <c r="F12" s="357"/>
      <c r="G12" s="357"/>
      <c r="H12" s="347">
        <f ca="1">0.01*tbl_Exh3.110[[#This Row],[Ultimate Allowed Claims]]</f>
        <v>303849.42806709645</v>
      </c>
      <c r="I12" s="353">
        <f ca="1">tbl_Exh3.110[[#This Row],[Ultimate Allowed Claims]]-tbl_Exh3.110[[#This Row],[One-Time Adjustment for High Claims (Non-Predictive Claims)]]-tbl_Exh3.110[[#This Row],[One-Time Adjustment for HCRP Receipts]]-tbl_Exh3.110[[#This Row],[Non-EHB Allowed Claims]]</f>
        <v>30081093.378642552</v>
      </c>
      <c r="J12" s="325">
        <f ca="1">tbl_Exh3.110[[#This Row],[Predictive Ultimate Allowed EHB Claims]]/tbl_Exh3.110[[#This Row],[Member Months]]</f>
        <v>300.81093378642549</v>
      </c>
      <c r="K12" s="242">
        <v>1</v>
      </c>
      <c r="L12" s="242">
        <v>1</v>
      </c>
      <c r="M12" s="242">
        <v>1</v>
      </c>
      <c r="N12" s="242">
        <v>1</v>
      </c>
      <c r="O12" s="242">
        <f>PRODUCT(tbl_Exh3.110[[#This Row],[Morbidity Adjustment]:[Other Adjustments]])</f>
        <v>1</v>
      </c>
      <c r="P12" s="242" cm="1">
        <f t="array" ref="P12">PRODUCT(IF(VALUE(RIGHT(tbl_Exh3.110[Incurred Date (YYYYMM)],2))=VALUE(RIGHT(tbl_Exh3.110[[#This Row],[Incurred Date (YYYYMM)]],2)),IF(VALUE(LEFT(tbl_Exh3.110[Incurred Date (YYYYMM)],4))&lt;=VALUE(LEFT(tbl_Exh3.110[[#This Row],[Incurred Date (YYYYMM)]],4)),tbl_Exh3.110[Combined Adjustment],1),1))</f>
        <v>1</v>
      </c>
      <c r="Q12" s="242">
        <f>INDEX(tbl_Exh3.110[Accumulated Adjustments],MATCH(VALUE(SUBSTITUTE(tbl_Exh3.110[[#This Row],[Incurred Date (YYYYMM)]],LEFT(tbl_Exh3.110[[#This Row],[Incurred Date (YYYYMM)]],4),ExperYear)),tbl_Exh3.110[Incurred Date (YYYYMM)],0))/tbl_Exh3.110[[#This Row],[Accumulated Adjustments]]</f>
        <v>1.0568908869465956</v>
      </c>
      <c r="R12" s="243">
        <f ca="1">tbl_Exh3.110[[#This Row],[Allowable Rating Adjustment Normalization Factor]]*tbl_Exh3.110[[#This Row],[Predictive Ultimate Allowed EHB Claims PMPM]]</f>
        <v>317.92433461276886</v>
      </c>
      <c r="S12" s="244"/>
      <c r="T12" s="245"/>
      <c r="U12" s="283"/>
      <c r="V12" s="283"/>
      <c r="W12" s="283"/>
      <c r="X12" s="248">
        <v>202202</v>
      </c>
      <c r="Y12" s="249">
        <f>Y11</f>
        <v>1</v>
      </c>
      <c r="Z12" s="249">
        <f t="shared" ca="1" si="1"/>
        <v>-2.3610445130331941E-3</v>
      </c>
      <c r="AA12" s="249">
        <f t="shared" ca="1" si="2"/>
        <v>0.99763895548696679</v>
      </c>
      <c r="AB12" s="250"/>
      <c r="AC12" s="250"/>
      <c r="AD12" s="250"/>
    </row>
    <row r="13" spans="1:30" s="238" customFormat="1" ht="15.75" x14ac:dyDescent="0.25">
      <c r="A13" s="239">
        <f t="shared" si="3"/>
        <v>202203</v>
      </c>
      <c r="B13" s="240">
        <v>100000</v>
      </c>
      <c r="C13" s="347">
        <f ca="1">tbl_Exh3.110[[#This Row],[Member Months]]*300*(AA13)*tbl_Exh3.110[[#This Row],[Accumulated Adjustments]]+tbl_Exh3.110[[#This Row],[One-Time Adjustment for High Claims (Non-Predictive Claims)]]+tbl_Exh3.110[[#This Row],[One-Time Adjustment for HCRP Receipts]]</f>
        <v>29914302.218518261</v>
      </c>
      <c r="D13" s="241">
        <f t="shared" si="0"/>
        <v>0.98499999999999999</v>
      </c>
      <c r="E13" s="353">
        <f ca="1">tbl_Exh3.110[[#This Row],[Allowed Claims 
(as of 3/31/2025)]]/tbl_Exh3.110[[#This Row],[Allowed Claims Completion factor (based on IBNP estimates)]]</f>
        <v>30369849.968038842</v>
      </c>
      <c r="F13" s="357"/>
      <c r="G13" s="357"/>
      <c r="H13" s="347">
        <f ca="1">0.01*tbl_Exh3.110[[#This Row],[Ultimate Allowed Claims]]</f>
        <v>303698.49968038843</v>
      </c>
      <c r="I13" s="353">
        <f ca="1">tbl_Exh3.110[[#This Row],[Ultimate Allowed Claims]]-tbl_Exh3.110[[#This Row],[One-Time Adjustment for High Claims (Non-Predictive Claims)]]-tbl_Exh3.110[[#This Row],[One-Time Adjustment for HCRP Receipts]]-tbl_Exh3.110[[#This Row],[Non-EHB Allowed Claims]]</f>
        <v>30066151.468358453</v>
      </c>
      <c r="J13" s="325">
        <f ca="1">tbl_Exh3.110[[#This Row],[Predictive Ultimate Allowed EHB Claims]]/tbl_Exh3.110[[#This Row],[Member Months]]</f>
        <v>300.66151468358453</v>
      </c>
      <c r="K13" s="242">
        <v>1</v>
      </c>
      <c r="L13" s="242">
        <v>1</v>
      </c>
      <c r="M13" s="242">
        <v>1</v>
      </c>
      <c r="N13" s="242">
        <v>1</v>
      </c>
      <c r="O13" s="242">
        <f>PRODUCT(tbl_Exh3.110[[#This Row],[Morbidity Adjustment]:[Other Adjustments]])</f>
        <v>1</v>
      </c>
      <c r="P13" s="242" cm="1">
        <f t="array" ref="P13">PRODUCT(IF(VALUE(RIGHT(tbl_Exh3.110[Incurred Date (YYYYMM)],2))=VALUE(RIGHT(tbl_Exh3.110[[#This Row],[Incurred Date (YYYYMM)]],2)),IF(VALUE(LEFT(tbl_Exh3.110[Incurred Date (YYYYMM)],4))&lt;=VALUE(LEFT(tbl_Exh3.110[[#This Row],[Incurred Date (YYYYMM)]],4)),tbl_Exh3.110[Combined Adjustment],1),1))</f>
        <v>1</v>
      </c>
      <c r="Q13" s="242">
        <f>INDEX(tbl_Exh3.110[Accumulated Adjustments],MATCH(VALUE(SUBSTITUTE(tbl_Exh3.110[[#This Row],[Incurred Date (YYYYMM)]],LEFT(tbl_Exh3.110[[#This Row],[Incurred Date (YYYYMM)]],4),ExperYear)),tbl_Exh3.110[Incurred Date (YYYYMM)],0))/tbl_Exh3.110[[#This Row],[Accumulated Adjustments]]</f>
        <v>1.0568908869465956</v>
      </c>
      <c r="R13" s="243">
        <f ca="1">tbl_Exh3.110[[#This Row],[Allowable Rating Adjustment Normalization Factor]]*tbl_Exh3.110[[#This Row],[Predictive Ultimate Allowed EHB Claims PMPM]]</f>
        <v>317.76641492464051</v>
      </c>
      <c r="S13" s="244"/>
      <c r="T13" s="245"/>
      <c r="U13" s="283"/>
      <c r="V13" s="283"/>
      <c r="W13" s="283"/>
      <c r="X13" s="248">
        <v>202203</v>
      </c>
      <c r="Y13" s="249">
        <f t="shared" ref="Y13:Y21" si="4">Y12</f>
        <v>1</v>
      </c>
      <c r="Z13" s="249">
        <f t="shared" ca="1" si="1"/>
        <v>-2.856592716057997E-3</v>
      </c>
      <c r="AA13" s="249">
        <f t="shared" ca="1" si="2"/>
        <v>0.99714340728394202</v>
      </c>
      <c r="AB13" s="250"/>
      <c r="AC13" s="250"/>
      <c r="AD13" s="250"/>
    </row>
    <row r="14" spans="1:30" s="238" customFormat="1" ht="15.75" x14ac:dyDescent="0.25">
      <c r="A14" s="239">
        <f t="shared" si="3"/>
        <v>202204</v>
      </c>
      <c r="B14" s="240">
        <v>100000</v>
      </c>
      <c r="C14" s="347">
        <f ca="1">tbl_Exh3.110[[#This Row],[Member Months]]*300*(AA14)*tbl_Exh3.110[[#This Row],[Accumulated Adjustments]]+tbl_Exh3.110[[#This Row],[One-Time Adjustment for High Claims (Non-Predictive Claims)]]+tbl_Exh3.110[[#This Row],[One-Time Adjustment for HCRP Receipts]]</f>
        <v>29946008.087203298</v>
      </c>
      <c r="D14" s="241">
        <f t="shared" si="0"/>
        <v>0.98499999999999999</v>
      </c>
      <c r="E14" s="353">
        <f ca="1">tbl_Exh3.110[[#This Row],[Allowed Claims 
(as of 3/31/2025)]]/tbl_Exh3.110[[#This Row],[Allowed Claims Completion factor (based on IBNP estimates)]]</f>
        <v>30402038.667211469</v>
      </c>
      <c r="F14" s="357"/>
      <c r="G14" s="357"/>
      <c r="H14" s="347">
        <f ca="1">0.01*tbl_Exh3.110[[#This Row],[Ultimate Allowed Claims]]</f>
        <v>304020.38667211472</v>
      </c>
      <c r="I14" s="353">
        <f ca="1">tbl_Exh3.110[[#This Row],[Ultimate Allowed Claims]]-tbl_Exh3.110[[#This Row],[One-Time Adjustment for High Claims (Non-Predictive Claims)]]-tbl_Exh3.110[[#This Row],[One-Time Adjustment for HCRP Receipts]]-tbl_Exh3.110[[#This Row],[Non-EHB Allowed Claims]]</f>
        <v>30098018.280539356</v>
      </c>
      <c r="J14" s="325">
        <f ca="1">tbl_Exh3.110[[#This Row],[Predictive Ultimate Allowed EHB Claims]]/tbl_Exh3.110[[#This Row],[Member Months]]</f>
        <v>300.98018280539355</v>
      </c>
      <c r="K14" s="242">
        <v>1</v>
      </c>
      <c r="L14" s="242">
        <v>1</v>
      </c>
      <c r="M14" s="242">
        <v>1</v>
      </c>
      <c r="N14" s="242">
        <v>1</v>
      </c>
      <c r="O14" s="242">
        <f>PRODUCT(tbl_Exh3.110[[#This Row],[Morbidity Adjustment]:[Other Adjustments]])</f>
        <v>1</v>
      </c>
      <c r="P14" s="242" cm="1">
        <f t="array" ref="P14">PRODUCT(IF(VALUE(RIGHT(tbl_Exh3.110[Incurred Date (YYYYMM)],2))=VALUE(RIGHT(tbl_Exh3.110[[#This Row],[Incurred Date (YYYYMM)]],2)),IF(VALUE(LEFT(tbl_Exh3.110[Incurred Date (YYYYMM)],4))&lt;=VALUE(LEFT(tbl_Exh3.110[[#This Row],[Incurred Date (YYYYMM)]],4)),tbl_Exh3.110[Combined Adjustment],1),1))</f>
        <v>1</v>
      </c>
      <c r="Q14" s="242">
        <f>INDEX(tbl_Exh3.110[Accumulated Adjustments],MATCH(VALUE(SUBSTITUTE(tbl_Exh3.110[[#This Row],[Incurred Date (YYYYMM)]],LEFT(tbl_Exh3.110[[#This Row],[Incurred Date (YYYYMM)]],4),ExperYear)),tbl_Exh3.110[Incurred Date (YYYYMM)],0))/tbl_Exh3.110[[#This Row],[Accumulated Adjustments]]</f>
        <v>1.0568908869465956</v>
      </c>
      <c r="R14" s="243">
        <f ca="1">tbl_Exh3.110[[#This Row],[Allowable Rating Adjustment Normalization Factor]]*tbl_Exh3.110[[#This Row],[Predictive Ultimate Allowed EHB Claims PMPM]]</f>
        <v>318.10321235854087</v>
      </c>
      <c r="S14" s="244"/>
      <c r="T14" s="245"/>
      <c r="U14" s="283"/>
      <c r="V14" s="283"/>
      <c r="W14" s="283"/>
      <c r="X14" s="248">
        <v>202204</v>
      </c>
      <c r="Y14" s="249">
        <f t="shared" si="4"/>
        <v>1</v>
      </c>
      <c r="Z14" s="249">
        <f t="shared" ca="1" si="1"/>
        <v>-1.799730426556776E-3</v>
      </c>
      <c r="AA14" s="249">
        <f t="shared" ca="1" si="2"/>
        <v>0.99820026957344321</v>
      </c>
      <c r="AB14" s="250"/>
      <c r="AC14" s="250"/>
      <c r="AD14" s="250"/>
    </row>
    <row r="15" spans="1:30" s="238" customFormat="1" ht="15.75" x14ac:dyDescent="0.25">
      <c r="A15" s="239">
        <f t="shared" si="3"/>
        <v>202205</v>
      </c>
      <c r="B15" s="240">
        <v>100000</v>
      </c>
      <c r="C15" s="347">
        <f ca="1">tbl_Exh3.110[[#This Row],[Member Months]]*300*(AA15)*tbl_Exh3.110[[#This Row],[Accumulated Adjustments]]+tbl_Exh3.110[[#This Row],[One-Time Adjustment for High Claims (Non-Predictive Claims)]]+tbl_Exh3.110[[#This Row],[One-Time Adjustment for HCRP Receipts]]</f>
        <v>29861541.559639983</v>
      </c>
      <c r="D15" s="241">
        <f t="shared" si="0"/>
        <v>0.98499999999999999</v>
      </c>
      <c r="E15" s="353">
        <f ca="1">tbl_Exh3.110[[#This Row],[Allowed Claims 
(as of 3/31/2025)]]/tbl_Exh3.110[[#This Row],[Allowed Claims Completion factor (based on IBNP estimates)]]</f>
        <v>30316285.847350236</v>
      </c>
      <c r="F15" s="357"/>
      <c r="G15" s="357"/>
      <c r="H15" s="347">
        <f ca="1">0.01*tbl_Exh3.110[[#This Row],[Ultimate Allowed Claims]]</f>
        <v>303162.85847350239</v>
      </c>
      <c r="I15" s="353">
        <f ca="1">tbl_Exh3.110[[#This Row],[Ultimate Allowed Claims]]-tbl_Exh3.110[[#This Row],[One-Time Adjustment for High Claims (Non-Predictive Claims)]]-tbl_Exh3.110[[#This Row],[One-Time Adjustment for HCRP Receipts]]-tbl_Exh3.110[[#This Row],[Non-EHB Allowed Claims]]</f>
        <v>30013122.988876734</v>
      </c>
      <c r="J15" s="325">
        <f ca="1">tbl_Exh3.110[[#This Row],[Predictive Ultimate Allowed EHB Claims]]/tbl_Exh3.110[[#This Row],[Member Months]]</f>
        <v>300.13122988876734</v>
      </c>
      <c r="K15" s="242">
        <v>1</v>
      </c>
      <c r="L15" s="242">
        <v>1</v>
      </c>
      <c r="M15" s="242">
        <v>1</v>
      </c>
      <c r="N15" s="242">
        <v>1</v>
      </c>
      <c r="O15" s="242">
        <f>PRODUCT(tbl_Exh3.110[[#This Row],[Morbidity Adjustment]:[Other Adjustments]])</f>
        <v>1</v>
      </c>
      <c r="P15" s="242" cm="1">
        <f t="array" ref="P15">PRODUCT(IF(VALUE(RIGHT(tbl_Exh3.110[Incurred Date (YYYYMM)],2))=VALUE(RIGHT(tbl_Exh3.110[[#This Row],[Incurred Date (YYYYMM)]],2)),IF(VALUE(LEFT(tbl_Exh3.110[Incurred Date (YYYYMM)],4))&lt;=VALUE(LEFT(tbl_Exh3.110[[#This Row],[Incurred Date (YYYYMM)]],4)),tbl_Exh3.110[Combined Adjustment],1),1))</f>
        <v>1</v>
      </c>
      <c r="Q15" s="242">
        <f>INDEX(tbl_Exh3.110[Accumulated Adjustments],MATCH(VALUE(SUBSTITUTE(tbl_Exh3.110[[#This Row],[Incurred Date (YYYYMM)]],LEFT(tbl_Exh3.110[[#This Row],[Incurred Date (YYYYMM)]],4),ExperYear)),tbl_Exh3.110[Incurred Date (YYYYMM)],0))/tbl_Exh3.110[[#This Row],[Accumulated Adjustments]]</f>
        <v>1.0568908869465956</v>
      </c>
      <c r="R15" s="243">
        <f ca="1">tbl_Exh3.110[[#This Row],[Allowable Rating Adjustment Normalization Factor]]*tbl_Exh3.110[[#This Row],[Predictive Ultimate Allowed EHB Claims PMPM]]</f>
        <v>317.20596175751189</v>
      </c>
      <c r="S15" s="244"/>
      <c r="T15" s="245"/>
      <c r="U15" s="283"/>
      <c r="V15" s="283"/>
      <c r="W15" s="283"/>
      <c r="X15" s="248">
        <v>202205</v>
      </c>
      <c r="Y15" s="249">
        <f t="shared" si="4"/>
        <v>1</v>
      </c>
      <c r="Z15" s="249">
        <f t="shared" ca="1" si="1"/>
        <v>-4.6152813453337908E-3</v>
      </c>
      <c r="AA15" s="249">
        <f t="shared" ca="1" si="2"/>
        <v>0.99538471865466616</v>
      </c>
      <c r="AB15" s="250"/>
      <c r="AC15" s="250"/>
      <c r="AD15" s="250"/>
    </row>
    <row r="16" spans="1:30" s="238" customFormat="1" ht="15.75" x14ac:dyDescent="0.25">
      <c r="A16" s="239">
        <f t="shared" si="3"/>
        <v>202206</v>
      </c>
      <c r="B16" s="240">
        <v>100000</v>
      </c>
      <c r="C16" s="347">
        <f ca="1">tbl_Exh3.110[[#This Row],[Member Months]]*300*(AA16)*tbl_Exh3.110[[#This Row],[Accumulated Adjustments]]+tbl_Exh3.110[[#This Row],[One-Time Adjustment for High Claims (Non-Predictive Claims)]]+tbl_Exh3.110[[#This Row],[One-Time Adjustment for HCRP Receipts]]</f>
        <v>30042464.979599334</v>
      </c>
      <c r="D16" s="241">
        <f t="shared" si="0"/>
        <v>0.98499999999999999</v>
      </c>
      <c r="E16" s="353">
        <f ca="1">tbl_Exh3.110[[#This Row],[Allowed Claims 
(as of 3/31/2025)]]/tbl_Exh3.110[[#This Row],[Allowed Claims Completion factor (based on IBNP estimates)]]</f>
        <v>30499964.446293741</v>
      </c>
      <c r="F16" s="357">
        <v>50000</v>
      </c>
      <c r="G16" s="357"/>
      <c r="H16" s="347">
        <f ca="1">0.01*tbl_Exh3.110[[#This Row],[Ultimate Allowed Claims]]</f>
        <v>304999.64446293743</v>
      </c>
      <c r="I16" s="353">
        <f ca="1">tbl_Exh3.110[[#This Row],[Ultimate Allowed Claims]]-tbl_Exh3.110[[#This Row],[One-Time Adjustment for High Claims (Non-Predictive Claims)]]-tbl_Exh3.110[[#This Row],[One-Time Adjustment for HCRP Receipts]]-tbl_Exh3.110[[#This Row],[Non-EHB Allowed Claims]]</f>
        <v>30144964.801830806</v>
      </c>
      <c r="J16" s="325">
        <f ca="1">tbl_Exh3.110[[#This Row],[Predictive Ultimate Allowed EHB Claims]]/tbl_Exh3.110[[#This Row],[Member Months]]</f>
        <v>301.44964801830804</v>
      </c>
      <c r="K16" s="242">
        <v>1</v>
      </c>
      <c r="L16" s="242">
        <v>1</v>
      </c>
      <c r="M16" s="242">
        <v>1</v>
      </c>
      <c r="N16" s="242">
        <v>1</v>
      </c>
      <c r="O16" s="242">
        <f>PRODUCT(tbl_Exh3.110[[#This Row],[Morbidity Adjustment]:[Other Adjustments]])</f>
        <v>1</v>
      </c>
      <c r="P16" s="242" cm="1">
        <f t="array" ref="P16">PRODUCT(IF(VALUE(RIGHT(tbl_Exh3.110[Incurred Date (YYYYMM)],2))=VALUE(RIGHT(tbl_Exh3.110[[#This Row],[Incurred Date (YYYYMM)]],2)),IF(VALUE(LEFT(tbl_Exh3.110[Incurred Date (YYYYMM)],4))&lt;=VALUE(LEFT(tbl_Exh3.110[[#This Row],[Incurred Date (YYYYMM)]],4)),tbl_Exh3.110[Combined Adjustment],1),1))</f>
        <v>1</v>
      </c>
      <c r="Q16" s="242">
        <f>INDEX(tbl_Exh3.110[Accumulated Adjustments],MATCH(VALUE(SUBSTITUTE(tbl_Exh3.110[[#This Row],[Incurred Date (YYYYMM)]],LEFT(tbl_Exh3.110[[#This Row],[Incurred Date (YYYYMM)]],4),ExperYear)),tbl_Exh3.110[Incurred Date (YYYYMM)],0))/tbl_Exh3.110[[#This Row],[Accumulated Adjustments]]</f>
        <v>1.0568908869465956</v>
      </c>
      <c r="R16" s="243">
        <f ca="1">tbl_Exh3.110[[#This Row],[Allowable Rating Adjustment Normalization Factor]]*tbl_Exh3.110[[#This Row],[Predictive Ultimate Allowed EHB Claims PMPM]]</f>
        <v>318.59938586380866</v>
      </c>
      <c r="S16" s="244"/>
      <c r="T16" s="245"/>
      <c r="U16" s="283"/>
      <c r="V16" s="283"/>
      <c r="W16" s="283"/>
      <c r="X16" s="248">
        <v>202206</v>
      </c>
      <c r="Y16" s="249">
        <f t="shared" si="4"/>
        <v>1</v>
      </c>
      <c r="Z16" s="249">
        <f t="shared" ca="1" si="1"/>
        <v>-2.5116734668882034E-4</v>
      </c>
      <c r="AA16" s="249">
        <f t="shared" ca="1" si="2"/>
        <v>0.99974883265331116</v>
      </c>
      <c r="AB16" s="250"/>
      <c r="AC16" s="250"/>
      <c r="AD16" s="250"/>
    </row>
    <row r="17" spans="1:30" s="238" customFormat="1" ht="15.75" x14ac:dyDescent="0.25">
      <c r="A17" s="239">
        <f t="shared" si="3"/>
        <v>202207</v>
      </c>
      <c r="B17" s="240">
        <v>100000</v>
      </c>
      <c r="C17" s="347">
        <f ca="1">tbl_Exh3.110[[#This Row],[Member Months]]*300*(AA17)*tbl_Exh3.110[[#This Row],[Accumulated Adjustments]]+tbl_Exh3.110[[#This Row],[One-Time Adjustment for High Claims (Non-Predictive Claims)]]+tbl_Exh3.110[[#This Row],[One-Time Adjustment for HCRP Receipts]]</f>
        <v>29908369.828623932</v>
      </c>
      <c r="D17" s="241">
        <f t="shared" si="0"/>
        <v>0.98499999999999999</v>
      </c>
      <c r="E17" s="353">
        <f ca="1">tbl_Exh3.110[[#This Row],[Allowed Claims 
(as of 3/31/2025)]]/tbl_Exh3.110[[#This Row],[Allowed Claims Completion factor (based on IBNP estimates)]]</f>
        <v>30363827.237181656</v>
      </c>
      <c r="F17" s="357"/>
      <c r="G17" s="357"/>
      <c r="H17" s="347">
        <f ca="1">0.01*tbl_Exh3.110[[#This Row],[Ultimate Allowed Claims]]</f>
        <v>303638.27237181657</v>
      </c>
      <c r="I17" s="353">
        <f ca="1">tbl_Exh3.110[[#This Row],[Ultimate Allowed Claims]]-tbl_Exh3.110[[#This Row],[One-Time Adjustment for High Claims (Non-Predictive Claims)]]-tbl_Exh3.110[[#This Row],[One-Time Adjustment for HCRP Receipts]]-tbl_Exh3.110[[#This Row],[Non-EHB Allowed Claims]]</f>
        <v>30060188.964809839</v>
      </c>
      <c r="J17" s="325">
        <f ca="1">tbl_Exh3.110[[#This Row],[Predictive Ultimate Allowed EHB Claims]]/tbl_Exh3.110[[#This Row],[Member Months]]</f>
        <v>300.60188964809839</v>
      </c>
      <c r="K17" s="242">
        <v>1</v>
      </c>
      <c r="L17" s="242">
        <v>1</v>
      </c>
      <c r="M17" s="242">
        <v>1</v>
      </c>
      <c r="N17" s="242">
        <v>1</v>
      </c>
      <c r="O17" s="242">
        <f>PRODUCT(tbl_Exh3.110[[#This Row],[Morbidity Adjustment]:[Other Adjustments]])</f>
        <v>1</v>
      </c>
      <c r="P17" s="242" cm="1">
        <f t="array" ref="P17">PRODUCT(IF(VALUE(RIGHT(tbl_Exh3.110[Incurred Date (YYYYMM)],2))=VALUE(RIGHT(tbl_Exh3.110[[#This Row],[Incurred Date (YYYYMM)]],2)),IF(VALUE(LEFT(tbl_Exh3.110[Incurred Date (YYYYMM)],4))&lt;=VALUE(LEFT(tbl_Exh3.110[[#This Row],[Incurred Date (YYYYMM)]],4)),tbl_Exh3.110[Combined Adjustment],1),1))</f>
        <v>1</v>
      </c>
      <c r="Q17" s="242">
        <f>INDEX(tbl_Exh3.110[Accumulated Adjustments],MATCH(VALUE(SUBSTITUTE(tbl_Exh3.110[[#This Row],[Incurred Date (YYYYMM)]],LEFT(tbl_Exh3.110[[#This Row],[Incurred Date (YYYYMM)]],4),ExperYear)),tbl_Exh3.110[Incurred Date (YYYYMM)],0))/tbl_Exh3.110[[#This Row],[Accumulated Adjustments]]</f>
        <v>1.0568908869465956</v>
      </c>
      <c r="R17" s="243">
        <f ca="1">tbl_Exh3.110[[#This Row],[Allowable Rating Adjustment Normalization Factor]]*tbl_Exh3.110[[#This Row],[Predictive Ultimate Allowed EHB Claims PMPM]]</f>
        <v>317.70339776800137</v>
      </c>
      <c r="S17" s="244"/>
      <c r="T17" s="245"/>
      <c r="U17" s="283"/>
      <c r="V17" s="283"/>
      <c r="W17" s="283"/>
      <c r="X17" s="248">
        <v>202207</v>
      </c>
      <c r="Y17" s="249">
        <f t="shared" si="4"/>
        <v>1</v>
      </c>
      <c r="Z17" s="249">
        <f t="shared" ca="1" si="1"/>
        <v>-3.0543390458689259E-3</v>
      </c>
      <c r="AA17" s="249">
        <f t="shared" ca="1" si="2"/>
        <v>0.99694566095413106</v>
      </c>
      <c r="AB17" s="250"/>
      <c r="AC17" s="250"/>
      <c r="AD17" s="250"/>
    </row>
    <row r="18" spans="1:30" s="238" customFormat="1" ht="15.75" x14ac:dyDescent="0.25">
      <c r="A18" s="239">
        <f t="shared" si="3"/>
        <v>202208</v>
      </c>
      <c r="B18" s="240">
        <v>100000</v>
      </c>
      <c r="C18" s="347">
        <f ca="1">tbl_Exh3.110[[#This Row],[Member Months]]*300*(AA18)*tbl_Exh3.110[[#This Row],[Accumulated Adjustments]]+tbl_Exh3.110[[#This Row],[One-Time Adjustment for High Claims (Non-Predictive Claims)]]+tbl_Exh3.110[[#This Row],[One-Time Adjustment for HCRP Receipts]]</f>
        <v>29977375.526442811</v>
      </c>
      <c r="D18" s="241">
        <f t="shared" si="0"/>
        <v>0.98499999999999999</v>
      </c>
      <c r="E18" s="353">
        <f ca="1">tbl_Exh3.110[[#This Row],[Allowed Claims 
(as of 3/31/2025)]]/tbl_Exh3.110[[#This Row],[Allowed Claims Completion factor (based on IBNP estimates)]]</f>
        <v>30433883.783190671</v>
      </c>
      <c r="F18" s="357"/>
      <c r="G18" s="357"/>
      <c r="H18" s="347">
        <f ca="1">0.01*tbl_Exh3.110[[#This Row],[Ultimate Allowed Claims]]</f>
        <v>304338.83783190674</v>
      </c>
      <c r="I18" s="353">
        <f ca="1">tbl_Exh3.110[[#This Row],[Ultimate Allowed Claims]]-tbl_Exh3.110[[#This Row],[One-Time Adjustment for High Claims (Non-Predictive Claims)]]-tbl_Exh3.110[[#This Row],[One-Time Adjustment for HCRP Receipts]]-tbl_Exh3.110[[#This Row],[Non-EHB Allowed Claims]]</f>
        <v>30129544.945358764</v>
      </c>
      <c r="J18" s="325">
        <f ca="1">tbl_Exh3.110[[#This Row],[Predictive Ultimate Allowed EHB Claims]]/tbl_Exh3.110[[#This Row],[Member Months]]</f>
        <v>301.29544945358765</v>
      </c>
      <c r="K18" s="242">
        <v>1</v>
      </c>
      <c r="L18" s="242">
        <v>1</v>
      </c>
      <c r="M18" s="242">
        <v>1</v>
      </c>
      <c r="N18" s="242">
        <v>1</v>
      </c>
      <c r="O18" s="242">
        <f>PRODUCT(tbl_Exh3.110[[#This Row],[Morbidity Adjustment]:[Other Adjustments]])</f>
        <v>1</v>
      </c>
      <c r="P18" s="242" cm="1">
        <f t="array" ref="P18">PRODUCT(IF(VALUE(RIGHT(tbl_Exh3.110[Incurred Date (YYYYMM)],2))=VALUE(RIGHT(tbl_Exh3.110[[#This Row],[Incurred Date (YYYYMM)]],2)),IF(VALUE(LEFT(tbl_Exh3.110[Incurred Date (YYYYMM)],4))&lt;=VALUE(LEFT(tbl_Exh3.110[[#This Row],[Incurred Date (YYYYMM)]],4)),tbl_Exh3.110[Combined Adjustment],1),1))</f>
        <v>1</v>
      </c>
      <c r="Q18" s="242">
        <f>INDEX(tbl_Exh3.110[Accumulated Adjustments],MATCH(VALUE(SUBSTITUTE(tbl_Exh3.110[[#This Row],[Incurred Date (YYYYMM)]],LEFT(tbl_Exh3.110[[#This Row],[Incurred Date (YYYYMM)]],4),ExperYear)),tbl_Exh3.110[Incurred Date (YYYYMM)],0))/tbl_Exh3.110[[#This Row],[Accumulated Adjustments]]</f>
        <v>1.0568908869465956</v>
      </c>
      <c r="R18" s="243">
        <f ca="1">tbl_Exh3.110[[#This Row],[Allowable Rating Adjustment Normalization Factor]]*tbl_Exh3.110[[#This Row],[Predictive Ultimate Allowed EHB Claims PMPM]]</f>
        <v>318.4364148059754</v>
      </c>
      <c r="S18" s="244"/>
      <c r="T18" s="245"/>
      <c r="U18" s="283"/>
      <c r="V18" s="283"/>
      <c r="W18" s="283"/>
      <c r="X18" s="248">
        <v>202208</v>
      </c>
      <c r="Y18" s="249">
        <f t="shared" si="4"/>
        <v>1</v>
      </c>
      <c r="Z18" s="249">
        <f t="shared" ca="1" si="1"/>
        <v>-7.5414911857294711E-4</v>
      </c>
      <c r="AA18" s="249">
        <f t="shared" ca="1" si="2"/>
        <v>0.99924585088142703</v>
      </c>
      <c r="AB18" s="250"/>
      <c r="AC18" s="250"/>
      <c r="AD18" s="250"/>
    </row>
    <row r="19" spans="1:30" s="238" customFormat="1" ht="15.75" x14ac:dyDescent="0.25">
      <c r="A19" s="239">
        <f t="shared" si="3"/>
        <v>202209</v>
      </c>
      <c r="B19" s="240">
        <v>100000</v>
      </c>
      <c r="C19" s="347">
        <f ca="1">tbl_Exh3.110[[#This Row],[Member Months]]*300*(AA19)*tbl_Exh3.110[[#This Row],[Accumulated Adjustments]]+tbl_Exh3.110[[#This Row],[One-Time Adjustment for High Claims (Non-Predictive Claims)]]+tbl_Exh3.110[[#This Row],[One-Time Adjustment for HCRP Receipts]]</f>
        <v>29923268.951008134</v>
      </c>
      <c r="D19" s="241">
        <f t="shared" si="0"/>
        <v>0.98499999999999999</v>
      </c>
      <c r="E19" s="353">
        <f ca="1">tbl_Exh3.110[[#This Row],[Allowed Claims 
(as of 3/31/2025)]]/tbl_Exh3.110[[#This Row],[Allowed Claims Completion factor (based on IBNP estimates)]]</f>
        <v>30378953.249754451</v>
      </c>
      <c r="F19" s="357"/>
      <c r="G19" s="357"/>
      <c r="H19" s="347">
        <f ca="1">0.01*tbl_Exh3.110[[#This Row],[Ultimate Allowed Claims]]</f>
        <v>303789.53249754454</v>
      </c>
      <c r="I19" s="353">
        <f ca="1">tbl_Exh3.110[[#This Row],[Ultimate Allowed Claims]]-tbl_Exh3.110[[#This Row],[One-Time Adjustment for High Claims (Non-Predictive Claims)]]-tbl_Exh3.110[[#This Row],[One-Time Adjustment for HCRP Receipts]]-tbl_Exh3.110[[#This Row],[Non-EHB Allowed Claims]]</f>
        <v>30075163.717256907</v>
      </c>
      <c r="J19" s="325">
        <f ca="1">tbl_Exh3.110[[#This Row],[Predictive Ultimate Allowed EHB Claims]]/tbl_Exh3.110[[#This Row],[Member Months]]</f>
        <v>300.75163717256908</v>
      </c>
      <c r="K19" s="242">
        <v>1</v>
      </c>
      <c r="L19" s="242">
        <v>1</v>
      </c>
      <c r="M19" s="242">
        <v>1</v>
      </c>
      <c r="N19" s="242">
        <v>1</v>
      </c>
      <c r="O19" s="242">
        <f>PRODUCT(tbl_Exh3.110[[#This Row],[Morbidity Adjustment]:[Other Adjustments]])</f>
        <v>1</v>
      </c>
      <c r="P19" s="242" cm="1">
        <f t="array" ref="P19">PRODUCT(IF(VALUE(RIGHT(tbl_Exh3.110[Incurred Date (YYYYMM)],2))=VALUE(RIGHT(tbl_Exh3.110[[#This Row],[Incurred Date (YYYYMM)]],2)),IF(VALUE(LEFT(tbl_Exh3.110[Incurred Date (YYYYMM)],4))&lt;=VALUE(LEFT(tbl_Exh3.110[[#This Row],[Incurred Date (YYYYMM)]],4)),tbl_Exh3.110[Combined Adjustment],1),1))</f>
        <v>1</v>
      </c>
      <c r="Q19" s="242">
        <f>INDEX(tbl_Exh3.110[Accumulated Adjustments],MATCH(VALUE(SUBSTITUTE(tbl_Exh3.110[[#This Row],[Incurred Date (YYYYMM)]],LEFT(tbl_Exh3.110[[#This Row],[Incurred Date (YYYYMM)]],4),ExperYear)),tbl_Exh3.110[Incurred Date (YYYYMM)],0))/tbl_Exh3.110[[#This Row],[Accumulated Adjustments]]</f>
        <v>1.0568908869465956</v>
      </c>
      <c r="R19" s="243">
        <f ca="1">tbl_Exh3.110[[#This Row],[Allowable Rating Adjustment Normalization Factor]]*tbl_Exh3.110[[#This Row],[Predictive Ultimate Allowed EHB Claims PMPM]]</f>
        <v>317.86166456195724</v>
      </c>
      <c r="S19" s="244"/>
      <c r="T19" s="245"/>
      <c r="U19" s="283"/>
      <c r="V19" s="283"/>
      <c r="W19" s="283"/>
      <c r="X19" s="248">
        <v>202209</v>
      </c>
      <c r="Y19" s="249">
        <f t="shared" si="4"/>
        <v>1</v>
      </c>
      <c r="Z19" s="249">
        <f t="shared" ca="1" si="1"/>
        <v>-2.5577016330622098E-3</v>
      </c>
      <c r="AA19" s="249">
        <f t="shared" ca="1" si="2"/>
        <v>0.99744229836693776</v>
      </c>
      <c r="AB19" s="250"/>
      <c r="AC19" s="250"/>
      <c r="AD19" s="250"/>
    </row>
    <row r="20" spans="1:30" s="238" customFormat="1" ht="15.75" x14ac:dyDescent="0.25">
      <c r="A20" s="239">
        <f t="shared" si="3"/>
        <v>202210</v>
      </c>
      <c r="B20" s="240">
        <v>100000</v>
      </c>
      <c r="C20" s="347">
        <f ca="1">tbl_Exh3.110[[#This Row],[Member Months]]*300*(AA20)*tbl_Exh3.110[[#This Row],[Accumulated Adjustments]]+tbl_Exh3.110[[#This Row],[One-Time Adjustment for High Claims (Non-Predictive Claims)]]+tbl_Exh3.110[[#This Row],[One-Time Adjustment for HCRP Receipts]]</f>
        <v>29989019.505026814</v>
      </c>
      <c r="D20" s="241">
        <f t="shared" si="0"/>
        <v>0.98499999999999999</v>
      </c>
      <c r="E20" s="353">
        <f ca="1">tbl_Exh3.110[[#This Row],[Allowed Claims 
(as of 3/31/2025)]]/tbl_Exh3.110[[#This Row],[Allowed Claims Completion factor (based on IBNP estimates)]]</f>
        <v>30445705.081245497</v>
      </c>
      <c r="F20" s="357"/>
      <c r="G20" s="357"/>
      <c r="H20" s="347">
        <f ca="1">0.01*tbl_Exh3.110[[#This Row],[Ultimate Allowed Claims]]</f>
        <v>304457.05081245495</v>
      </c>
      <c r="I20" s="353">
        <f ca="1">tbl_Exh3.110[[#This Row],[Ultimate Allowed Claims]]-tbl_Exh3.110[[#This Row],[One-Time Adjustment for High Claims (Non-Predictive Claims)]]-tbl_Exh3.110[[#This Row],[One-Time Adjustment for HCRP Receipts]]-tbl_Exh3.110[[#This Row],[Non-EHB Allowed Claims]]</f>
        <v>30141248.03043304</v>
      </c>
      <c r="J20" s="325">
        <f ca="1">tbl_Exh3.110[[#This Row],[Predictive Ultimate Allowed EHB Claims]]/tbl_Exh3.110[[#This Row],[Member Months]]</f>
        <v>301.41248030433042</v>
      </c>
      <c r="K20" s="242">
        <v>1</v>
      </c>
      <c r="L20" s="242">
        <v>1</v>
      </c>
      <c r="M20" s="242">
        <v>1</v>
      </c>
      <c r="N20" s="242">
        <v>1</v>
      </c>
      <c r="O20" s="242">
        <f>PRODUCT(tbl_Exh3.110[[#This Row],[Morbidity Adjustment]:[Other Adjustments]])</f>
        <v>1</v>
      </c>
      <c r="P20" s="242" cm="1">
        <f t="array" ref="P20">PRODUCT(IF(VALUE(RIGHT(tbl_Exh3.110[Incurred Date (YYYYMM)],2))=VALUE(RIGHT(tbl_Exh3.110[[#This Row],[Incurred Date (YYYYMM)]],2)),IF(VALUE(LEFT(tbl_Exh3.110[Incurred Date (YYYYMM)],4))&lt;=VALUE(LEFT(tbl_Exh3.110[[#This Row],[Incurred Date (YYYYMM)]],4)),tbl_Exh3.110[Combined Adjustment],1),1))</f>
        <v>1</v>
      </c>
      <c r="Q20" s="242">
        <f>INDEX(tbl_Exh3.110[Accumulated Adjustments],MATCH(VALUE(SUBSTITUTE(tbl_Exh3.110[[#This Row],[Incurred Date (YYYYMM)]],LEFT(tbl_Exh3.110[[#This Row],[Incurred Date (YYYYMM)]],4),ExperYear)),tbl_Exh3.110[Incurred Date (YYYYMM)],0))/tbl_Exh3.110[[#This Row],[Accumulated Adjustments]]</f>
        <v>1.0568908869465956</v>
      </c>
      <c r="R20" s="243">
        <f ca="1">tbl_Exh3.110[[#This Row],[Allowable Rating Adjustment Normalization Factor]]*tbl_Exh3.110[[#This Row],[Predictive Ultimate Allowed EHB Claims PMPM]]</f>
        <v>318.56010364561706</v>
      </c>
      <c r="S20" s="244"/>
      <c r="T20" s="245"/>
      <c r="U20" s="283"/>
      <c r="V20" s="283"/>
      <c r="W20" s="283"/>
      <c r="X20" s="248">
        <v>202210</v>
      </c>
      <c r="Y20" s="249">
        <f t="shared" si="4"/>
        <v>1</v>
      </c>
      <c r="Z20" s="249">
        <f t="shared" ca="1" si="1"/>
        <v>-3.6601649910620427E-4</v>
      </c>
      <c r="AA20" s="249">
        <f t="shared" ca="1" si="2"/>
        <v>0.99963398350089383</v>
      </c>
      <c r="AB20" s="250"/>
      <c r="AC20" s="250"/>
      <c r="AD20" s="250"/>
    </row>
    <row r="21" spans="1:30" s="238" customFormat="1" ht="15.75" x14ac:dyDescent="0.25">
      <c r="A21" s="239">
        <f t="shared" si="3"/>
        <v>202211</v>
      </c>
      <c r="B21" s="240">
        <v>100000</v>
      </c>
      <c r="C21" s="347">
        <f ca="1">tbl_Exh3.110[[#This Row],[Member Months]]*300*(AA21)*tbl_Exh3.110[[#This Row],[Accumulated Adjustments]]+tbl_Exh3.110[[#This Row],[One-Time Adjustment for High Claims (Non-Predictive Claims)]]+tbl_Exh3.110[[#This Row],[One-Time Adjustment for HCRP Receipts]]</f>
        <v>29928053.390033558</v>
      </c>
      <c r="D21" s="241">
        <f t="shared" si="0"/>
        <v>0.98499999999999999</v>
      </c>
      <c r="E21" s="353">
        <f ca="1">tbl_Exh3.110[[#This Row],[Allowed Claims 
(as of 3/31/2025)]]/tbl_Exh3.110[[#This Row],[Allowed Claims Completion factor (based on IBNP estimates)]]</f>
        <v>30383810.548257418</v>
      </c>
      <c r="F21" s="357"/>
      <c r="G21" s="357"/>
      <c r="H21" s="347">
        <f ca="1">0.01*tbl_Exh3.110[[#This Row],[Ultimate Allowed Claims]]</f>
        <v>303838.1054825742</v>
      </c>
      <c r="I21" s="353">
        <f ca="1">tbl_Exh3.110[[#This Row],[Ultimate Allowed Claims]]-tbl_Exh3.110[[#This Row],[One-Time Adjustment for High Claims (Non-Predictive Claims)]]-tbl_Exh3.110[[#This Row],[One-Time Adjustment for HCRP Receipts]]-tbl_Exh3.110[[#This Row],[Non-EHB Allowed Claims]]</f>
        <v>30079972.442774843</v>
      </c>
      <c r="J21" s="325">
        <f ca="1">tbl_Exh3.110[[#This Row],[Predictive Ultimate Allowed EHB Claims]]/tbl_Exh3.110[[#This Row],[Member Months]]</f>
        <v>300.79972442774846</v>
      </c>
      <c r="K21" s="242">
        <v>1</v>
      </c>
      <c r="L21" s="242">
        <v>1</v>
      </c>
      <c r="M21" s="242">
        <v>1</v>
      </c>
      <c r="N21" s="242">
        <v>1</v>
      </c>
      <c r="O21" s="242">
        <f>PRODUCT(tbl_Exh3.110[[#This Row],[Morbidity Adjustment]:[Other Adjustments]])</f>
        <v>1</v>
      </c>
      <c r="P21" s="242" cm="1">
        <f t="array" ref="P21">PRODUCT(IF(VALUE(RIGHT(tbl_Exh3.110[Incurred Date (YYYYMM)],2))=VALUE(RIGHT(tbl_Exh3.110[[#This Row],[Incurred Date (YYYYMM)]],2)),IF(VALUE(LEFT(tbl_Exh3.110[Incurred Date (YYYYMM)],4))&lt;=VALUE(LEFT(tbl_Exh3.110[[#This Row],[Incurred Date (YYYYMM)]],4)),tbl_Exh3.110[Combined Adjustment],1),1))</f>
        <v>1</v>
      </c>
      <c r="Q21" s="242">
        <f>INDEX(tbl_Exh3.110[Accumulated Adjustments],MATCH(VALUE(SUBSTITUTE(tbl_Exh3.110[[#This Row],[Incurred Date (YYYYMM)]],LEFT(tbl_Exh3.110[[#This Row],[Incurred Date (YYYYMM)]],4),ExperYear)),tbl_Exh3.110[Incurred Date (YYYYMM)],0))/tbl_Exh3.110[[#This Row],[Accumulated Adjustments]]</f>
        <v>1.0568908869465956</v>
      </c>
      <c r="R21" s="243">
        <f ca="1">tbl_Exh3.110[[#This Row],[Allowable Rating Adjustment Normalization Factor]]*tbl_Exh3.110[[#This Row],[Predictive Ultimate Allowed EHB Claims PMPM]]</f>
        <v>317.91248754373458</v>
      </c>
      <c r="S21" s="244"/>
      <c r="T21" s="245"/>
      <c r="U21" s="283"/>
      <c r="V21" s="283"/>
      <c r="W21" s="283"/>
      <c r="X21" s="248">
        <v>202211</v>
      </c>
      <c r="Y21" s="249">
        <f t="shared" si="4"/>
        <v>1</v>
      </c>
      <c r="Z21" s="249">
        <f t="shared" ca="1" si="1"/>
        <v>-2.3982203322147457E-3</v>
      </c>
      <c r="AA21" s="249">
        <f t="shared" ca="1" si="2"/>
        <v>0.99760177966778529</v>
      </c>
      <c r="AB21" s="250"/>
      <c r="AC21" s="250"/>
      <c r="AD21" s="250"/>
    </row>
    <row r="22" spans="1:30" s="238" customFormat="1" ht="16.5" thickBot="1" x14ac:dyDescent="0.3">
      <c r="A22" s="334">
        <f t="shared" si="3"/>
        <v>202212</v>
      </c>
      <c r="B22" s="335">
        <v>100000</v>
      </c>
      <c r="C22" s="348">
        <f ca="1">tbl_Exh3.110[[#This Row],[Member Months]]*300*(AA22)*tbl_Exh3.110[[#This Row],[Accumulated Adjustments]]+tbl_Exh3.110[[#This Row],[One-Time Adjustment for High Claims (Non-Predictive Claims)]]+tbl_Exh3.110[[#This Row],[One-Time Adjustment for HCRP Receipts]]</f>
        <v>29899043.952991799</v>
      </c>
      <c r="D22" s="336">
        <f t="shared" si="0"/>
        <v>0.98499999999999999</v>
      </c>
      <c r="E22" s="354">
        <f ca="1">tbl_Exh3.110[[#This Row],[Allowed Claims 
(as of 3/31/2025)]]/tbl_Exh3.110[[#This Row],[Allowed Claims Completion factor (based on IBNP estimates)]]</f>
        <v>30354359.343138881</v>
      </c>
      <c r="F22" s="358"/>
      <c r="G22" s="358"/>
      <c r="H22" s="348">
        <f ca="1">0.01*tbl_Exh3.110[[#This Row],[Ultimate Allowed Claims]]</f>
        <v>303543.59343138884</v>
      </c>
      <c r="I22" s="354">
        <f ca="1">tbl_Exh3.110[[#This Row],[Ultimate Allowed Claims]]-tbl_Exh3.110[[#This Row],[One-Time Adjustment for High Claims (Non-Predictive Claims)]]-tbl_Exh3.110[[#This Row],[One-Time Adjustment for HCRP Receipts]]-tbl_Exh3.110[[#This Row],[Non-EHB Allowed Claims]]</f>
        <v>30050815.749707494</v>
      </c>
      <c r="J22" s="337">
        <f ca="1">tbl_Exh3.110[[#This Row],[Predictive Ultimate Allowed EHB Claims]]/tbl_Exh3.110[[#This Row],[Member Months]]</f>
        <v>300.50815749707493</v>
      </c>
      <c r="K22" s="338">
        <v>1</v>
      </c>
      <c r="L22" s="338">
        <v>1</v>
      </c>
      <c r="M22" s="338">
        <v>1</v>
      </c>
      <c r="N22" s="338">
        <v>1</v>
      </c>
      <c r="O22" s="338">
        <f>PRODUCT(tbl_Exh3.110[[#This Row],[Morbidity Adjustment]:[Other Adjustments]])</f>
        <v>1</v>
      </c>
      <c r="P22" s="338" cm="1">
        <f t="array" ref="P22">PRODUCT(IF(VALUE(RIGHT(tbl_Exh3.110[Incurred Date (YYYYMM)],2))=VALUE(RIGHT(tbl_Exh3.110[[#This Row],[Incurred Date (YYYYMM)]],2)),IF(VALUE(LEFT(tbl_Exh3.110[Incurred Date (YYYYMM)],4))&lt;=VALUE(LEFT(tbl_Exh3.110[[#This Row],[Incurred Date (YYYYMM)]],4)),tbl_Exh3.110[Combined Adjustment],1),1))</f>
        <v>1</v>
      </c>
      <c r="Q22" s="338">
        <f>INDEX(tbl_Exh3.110[Accumulated Adjustments],MATCH(VALUE(SUBSTITUTE(tbl_Exh3.110[[#This Row],[Incurred Date (YYYYMM)]],LEFT(tbl_Exh3.110[[#This Row],[Incurred Date (YYYYMM)]],4),ExperYear)),tbl_Exh3.110[Incurred Date (YYYYMM)],0))/tbl_Exh3.110[[#This Row],[Accumulated Adjustments]]</f>
        <v>1.0568908869465956</v>
      </c>
      <c r="R22" s="339">
        <f ca="1">tbl_Exh3.110[[#This Row],[Allowable Rating Adjustment Normalization Factor]]*tbl_Exh3.110[[#This Row],[Predictive Ultimate Allowed EHB Claims PMPM]]</f>
        <v>317.60433311177076</v>
      </c>
      <c r="S22" s="340"/>
      <c r="T22" s="341"/>
      <c r="U22" s="283"/>
      <c r="V22" s="283"/>
      <c r="W22" s="283"/>
      <c r="X22" s="246">
        <v>202212</v>
      </c>
      <c r="Y22" s="247">
        <f>Y21</f>
        <v>1</v>
      </c>
      <c r="Z22" s="247">
        <f t="shared" ca="1" si="1"/>
        <v>-3.3652015669400469E-3</v>
      </c>
      <c r="AA22" s="247">
        <f t="shared" ca="1" si="2"/>
        <v>0.99663479843305991</v>
      </c>
      <c r="AB22" s="247">
        <f>AVERAGE(Y11:Y22)</f>
        <v>1</v>
      </c>
      <c r="AC22" s="247">
        <f t="shared" ref="AC22:AD23" ca="1" si="5">AVERAGE(Z11:Z22)</f>
        <v>-2.2370847421011512E-3</v>
      </c>
      <c r="AD22" s="247">
        <f ca="1">AVERAGE(AA11:AA22)</f>
        <v>0.99776291525789895</v>
      </c>
    </row>
    <row r="23" spans="1:30" s="238" customFormat="1" ht="15.75" x14ac:dyDescent="0.25">
      <c r="A23" s="233">
        <f t="shared" si="3"/>
        <v>202301</v>
      </c>
      <c r="B23" s="327">
        <v>100000</v>
      </c>
      <c r="C23" s="349">
        <f ca="1">tbl_Exh3.110[[#This Row],[Member Months]]*300*(AA23)*tbl_Exh3.110[[#This Row],[Accumulated Adjustments]]+tbl_Exh3.110[[#This Row],[One-Time Adjustment for High Claims (Non-Predictive Claims)]]+tbl_Exh3.110[[#This Row],[One-Time Adjustment for HCRP Receipts]]</f>
        <v>33364039.237940032</v>
      </c>
      <c r="D23" s="328">
        <f t="shared" si="0"/>
        <v>0.98499999999999999</v>
      </c>
      <c r="E23" s="355">
        <f ca="1">tbl_Exh3.110[[#This Row],[Allowed Claims 
(as of 3/31/2025)]]/tbl_Exh3.110[[#This Row],[Allowed Claims Completion factor (based on IBNP estimates)]]</f>
        <v>33872121.053746223</v>
      </c>
      <c r="F23" s="359"/>
      <c r="G23" s="359"/>
      <c r="H23" s="349">
        <f ca="1">0.01*tbl_Exh3.110[[#This Row],[Ultimate Allowed Claims]]</f>
        <v>338721.21053746226</v>
      </c>
      <c r="I23" s="355">
        <f ca="1">tbl_Exh3.110[[#This Row],[Ultimate Allowed Claims]]-tbl_Exh3.110[[#This Row],[One-Time Adjustment for High Claims (Non-Predictive Claims)]]-tbl_Exh3.110[[#This Row],[One-Time Adjustment for HCRP Receipts]]-tbl_Exh3.110[[#This Row],[Non-EHB Allowed Claims]]</f>
        <v>33533399.84320876</v>
      </c>
      <c r="J23" s="329">
        <f ca="1">tbl_Exh3.110[[#This Row],[Predictive Ultimate Allowed EHB Claims]]/tbl_Exh3.110[[#This Row],[Member Months]]</f>
        <v>335.33399843208758</v>
      </c>
      <c r="K23" s="328">
        <v>1.018</v>
      </c>
      <c r="L23" s="328">
        <v>1.0149999999999999</v>
      </c>
      <c r="M23" s="328">
        <v>0.99</v>
      </c>
      <c r="N23" s="328">
        <v>1.0049999999999999</v>
      </c>
      <c r="O23" s="330">
        <f>PRODUCT(tbl_Exh3.110[[#This Row],[Morbidity Adjustment]:[Other Adjustments]])</f>
        <v>1.0280519864999997</v>
      </c>
      <c r="P23" s="330" cm="1">
        <f t="array" ref="P23">PRODUCT(IF(VALUE(RIGHT(tbl_Exh3.110[Incurred Date (YYYYMM)],2))=VALUE(RIGHT(tbl_Exh3.110[[#This Row],[Incurred Date (YYYYMM)]],2)),IF(VALUE(LEFT(tbl_Exh3.110[Incurred Date (YYYYMM)],4))&lt;=VALUE(LEFT(tbl_Exh3.110[[#This Row],[Incurred Date (YYYYMM)]],4)),tbl_Exh3.110[Combined Adjustment],1),1))</f>
        <v>1.0280519864999997</v>
      </c>
      <c r="Q23" s="330">
        <f>INDEX(tbl_Exh3.110[Accumulated Adjustments],MATCH(VALUE(SUBSTITUTE(tbl_Exh3.110[[#This Row],[Incurred Date (YYYYMM)]],LEFT(tbl_Exh3.110[[#This Row],[Incurred Date (YYYYMM)]],4),ExperYear)),tbl_Exh3.110[Incurred Date (YYYYMM)],0))/tbl_Exh3.110[[#This Row],[Accumulated Adjustments]]</f>
        <v>1.0280519864999997</v>
      </c>
      <c r="R23" s="331">
        <f ca="1">tbl_Exh3.110[[#This Row],[Allowable Rating Adjustment Normalization Factor]]*tbl_Exh3.110[[#This Row],[Predictive Ultimate Allowed EHB Claims PMPM]]</f>
        <v>344.74078322909543</v>
      </c>
      <c r="S23" s="332"/>
      <c r="T23" s="333"/>
      <c r="U23" s="283"/>
      <c r="V23" s="283"/>
      <c r="W23" s="283"/>
      <c r="X23" s="246">
        <v>202301</v>
      </c>
      <c r="Y23" s="247">
        <f>1+$Y$9</f>
        <v>1.085</v>
      </c>
      <c r="Z23" s="247">
        <f t="shared" ca="1" si="1"/>
        <v>-3.2116703544075981E-3</v>
      </c>
      <c r="AA23" s="247">
        <f t="shared" ca="1" si="2"/>
        <v>1.0817883296455924</v>
      </c>
      <c r="AB23" s="247">
        <f>AVERAGE(Y12:Y23)</f>
        <v>1.0070833333333333</v>
      </c>
      <c r="AC23" s="247">
        <f t="shared" ca="1" si="5"/>
        <v>-2.2992595748202714E-3</v>
      </c>
      <c r="AD23" s="247">
        <f t="shared" ca="1" si="5"/>
        <v>1.0047840737585132</v>
      </c>
    </row>
    <row r="24" spans="1:30" s="238" customFormat="1" ht="15.75" x14ac:dyDescent="0.25">
      <c r="A24" s="239">
        <f t="shared" si="3"/>
        <v>202302</v>
      </c>
      <c r="B24" s="251">
        <v>100000</v>
      </c>
      <c r="C24" s="350">
        <f ca="1">tbl_Exh3.110[[#This Row],[Member Months]]*300*(AA24)*tbl_Exh3.110[[#This Row],[Accumulated Adjustments]]+tbl_Exh3.110[[#This Row],[One-Time Adjustment for High Claims (Non-Predictive Claims)]]+tbl_Exh3.110[[#This Row],[One-Time Adjustment for HCRP Receipts]]</f>
        <v>33424389.38266604</v>
      </c>
      <c r="D24" s="252">
        <f t="shared" si="0"/>
        <v>0.98499999999999999</v>
      </c>
      <c r="E24" s="353">
        <f ca="1">tbl_Exh3.110[[#This Row],[Allowed Claims 
(as of 3/31/2025)]]/tbl_Exh3.110[[#This Row],[Allowed Claims Completion factor (based on IBNP estimates)]]</f>
        <v>33933390.236209176</v>
      </c>
      <c r="F24" s="360"/>
      <c r="G24" s="360"/>
      <c r="H24" s="350">
        <f ca="1">0.01*tbl_Exh3.110[[#This Row],[Ultimate Allowed Claims]]</f>
        <v>339333.90236209176</v>
      </c>
      <c r="I24" s="353">
        <f ca="1">tbl_Exh3.110[[#This Row],[Ultimate Allowed Claims]]-tbl_Exh3.110[[#This Row],[One-Time Adjustment for High Claims (Non-Predictive Claims)]]-tbl_Exh3.110[[#This Row],[One-Time Adjustment for HCRP Receipts]]-tbl_Exh3.110[[#This Row],[Non-EHB Allowed Claims]]</f>
        <v>33594056.333847083</v>
      </c>
      <c r="J24" s="325">
        <f ca="1">tbl_Exh3.110[[#This Row],[Predictive Ultimate Allowed EHB Claims]]/tbl_Exh3.110[[#This Row],[Member Months]]</f>
        <v>335.94056333847084</v>
      </c>
      <c r="K24" s="242">
        <f>K23</f>
        <v>1.018</v>
      </c>
      <c r="L24" s="242">
        <f t="shared" ref="L24:N34" si="6">L23</f>
        <v>1.0149999999999999</v>
      </c>
      <c r="M24" s="242">
        <f t="shared" si="6"/>
        <v>0.99</v>
      </c>
      <c r="N24" s="242">
        <f t="shared" si="6"/>
        <v>1.0049999999999999</v>
      </c>
      <c r="O24" s="242">
        <f>PRODUCT(tbl_Exh3.110[[#This Row],[Morbidity Adjustment]:[Other Adjustments]])</f>
        <v>1.0280519864999997</v>
      </c>
      <c r="P24" s="242" cm="1">
        <f t="array" ref="P24">PRODUCT(IF(VALUE(RIGHT(tbl_Exh3.110[Incurred Date (YYYYMM)],2))=VALUE(RIGHT(tbl_Exh3.110[[#This Row],[Incurred Date (YYYYMM)]],2)),IF(VALUE(LEFT(tbl_Exh3.110[Incurred Date (YYYYMM)],4))&lt;=VALUE(LEFT(tbl_Exh3.110[[#This Row],[Incurred Date (YYYYMM)]],4)),tbl_Exh3.110[Combined Adjustment],1),1))</f>
        <v>1.0280519864999997</v>
      </c>
      <c r="Q24" s="242">
        <f>INDEX(tbl_Exh3.110[Accumulated Adjustments],MATCH(VALUE(SUBSTITUTE(tbl_Exh3.110[[#This Row],[Incurred Date (YYYYMM)]],LEFT(tbl_Exh3.110[[#This Row],[Incurred Date (YYYYMM)]],4),ExperYear)),tbl_Exh3.110[Incurred Date (YYYYMM)],0))/tbl_Exh3.110[[#This Row],[Accumulated Adjustments]]</f>
        <v>1.0280519864999997</v>
      </c>
      <c r="R24" s="243">
        <f ca="1">tbl_Exh3.110[[#This Row],[Allowable Rating Adjustment Normalization Factor]]*tbl_Exh3.110[[#This Row],[Predictive Ultimate Allowed EHB Claims PMPM]]</f>
        <v>345.36436348604394</v>
      </c>
      <c r="S24" s="244"/>
      <c r="T24" s="245"/>
      <c r="U24" s="283"/>
      <c r="V24" s="283"/>
      <c r="W24" s="283"/>
      <c r="X24" s="248">
        <v>202302</v>
      </c>
      <c r="Y24" s="249">
        <f>Y23</f>
        <v>1.085</v>
      </c>
      <c r="Z24" s="249">
        <f t="shared" ca="1" si="1"/>
        <v>-1.2548904276301427E-3</v>
      </c>
      <c r="AA24" s="249">
        <f t="shared" ca="1" si="2"/>
        <v>1.0837451095723698</v>
      </c>
      <c r="AB24" s="253"/>
      <c r="AC24" s="250"/>
      <c r="AD24" s="250"/>
    </row>
    <row r="25" spans="1:30" s="238" customFormat="1" ht="15.75" x14ac:dyDescent="0.25">
      <c r="A25" s="239">
        <f t="shared" si="3"/>
        <v>202303</v>
      </c>
      <c r="B25" s="251">
        <v>100000</v>
      </c>
      <c r="C25" s="350">
        <f ca="1">tbl_Exh3.110[[#This Row],[Member Months]]*300*(AA25)*tbl_Exh3.110[[#This Row],[Accumulated Adjustments]]+tbl_Exh3.110[[#This Row],[One-Time Adjustment for High Claims (Non-Predictive Claims)]]+tbl_Exh3.110[[#This Row],[One-Time Adjustment for HCRP Receipts]]</f>
        <v>33349103.725535754</v>
      </c>
      <c r="D25" s="252">
        <f t="shared" si="0"/>
        <v>0.98499999999999999</v>
      </c>
      <c r="E25" s="353">
        <f ca="1">tbl_Exh3.110[[#This Row],[Allowed Claims 
(as of 3/31/2025)]]/tbl_Exh3.110[[#This Row],[Allowed Claims Completion factor (based on IBNP estimates)]]</f>
        <v>33856958.096990615</v>
      </c>
      <c r="F25" s="360"/>
      <c r="G25" s="360"/>
      <c r="H25" s="350">
        <f ca="1">0.01*tbl_Exh3.110[[#This Row],[Ultimate Allowed Claims]]</f>
        <v>338569.58096990618</v>
      </c>
      <c r="I25" s="353">
        <f ca="1">tbl_Exh3.110[[#This Row],[Ultimate Allowed Claims]]-tbl_Exh3.110[[#This Row],[One-Time Adjustment for High Claims (Non-Predictive Claims)]]-tbl_Exh3.110[[#This Row],[One-Time Adjustment for HCRP Receipts]]-tbl_Exh3.110[[#This Row],[Non-EHB Allowed Claims]]</f>
        <v>33518388.516020708</v>
      </c>
      <c r="J25" s="325">
        <f ca="1">tbl_Exh3.110[[#This Row],[Predictive Ultimate Allowed EHB Claims]]/tbl_Exh3.110[[#This Row],[Member Months]]</f>
        <v>335.18388516020707</v>
      </c>
      <c r="K25" s="242">
        <f t="shared" ref="K25:K34" si="7">K24</f>
        <v>1.018</v>
      </c>
      <c r="L25" s="242">
        <f t="shared" si="6"/>
        <v>1.0149999999999999</v>
      </c>
      <c r="M25" s="242">
        <f t="shared" si="6"/>
        <v>0.99</v>
      </c>
      <c r="N25" s="242">
        <f t="shared" si="6"/>
        <v>1.0049999999999999</v>
      </c>
      <c r="O25" s="242">
        <f>PRODUCT(tbl_Exh3.110[[#This Row],[Morbidity Adjustment]:[Other Adjustments]])</f>
        <v>1.0280519864999997</v>
      </c>
      <c r="P25" s="242" cm="1">
        <f t="array" ref="P25">PRODUCT(IF(VALUE(RIGHT(tbl_Exh3.110[Incurred Date (YYYYMM)],2))=VALUE(RIGHT(tbl_Exh3.110[[#This Row],[Incurred Date (YYYYMM)]],2)),IF(VALUE(LEFT(tbl_Exh3.110[Incurred Date (YYYYMM)],4))&lt;=VALUE(LEFT(tbl_Exh3.110[[#This Row],[Incurred Date (YYYYMM)]],4)),tbl_Exh3.110[Combined Adjustment],1),1))</f>
        <v>1.0280519864999997</v>
      </c>
      <c r="Q25" s="242">
        <f>INDEX(tbl_Exh3.110[Accumulated Adjustments],MATCH(VALUE(SUBSTITUTE(tbl_Exh3.110[[#This Row],[Incurred Date (YYYYMM)]],LEFT(tbl_Exh3.110[[#This Row],[Incurred Date (YYYYMM)]],4),ExperYear)),tbl_Exh3.110[Incurred Date (YYYYMM)],0))/tbl_Exh3.110[[#This Row],[Accumulated Adjustments]]</f>
        <v>1.0280519864999997</v>
      </c>
      <c r="R25" s="243">
        <f ca="1">tbl_Exh3.110[[#This Row],[Allowable Rating Adjustment Normalization Factor]]*tbl_Exh3.110[[#This Row],[Predictive Ultimate Allowed EHB Claims PMPM]]</f>
        <v>344.58645898173864</v>
      </c>
      <c r="S25" s="244"/>
      <c r="T25" s="245"/>
      <c r="U25" s="283"/>
      <c r="V25" s="283"/>
      <c r="W25" s="283"/>
      <c r="X25" s="248">
        <v>202303</v>
      </c>
      <c r="Y25" s="249">
        <f t="shared" ref="Y25:Y33" si="8">Y24</f>
        <v>1.085</v>
      </c>
      <c r="Z25" s="249">
        <f t="shared" ca="1" si="1"/>
        <v>-3.6959361503143763E-3</v>
      </c>
      <c r="AA25" s="249">
        <f t="shared" ca="1" si="2"/>
        <v>1.0813040638496856</v>
      </c>
      <c r="AB25" s="250"/>
      <c r="AC25" s="250"/>
      <c r="AD25" s="250"/>
    </row>
    <row r="26" spans="1:30" s="238" customFormat="1" ht="15.75" x14ac:dyDescent="0.25">
      <c r="A26" s="239">
        <f t="shared" si="3"/>
        <v>202304</v>
      </c>
      <c r="B26" s="251">
        <v>100000</v>
      </c>
      <c r="C26" s="350">
        <f ca="1">tbl_Exh3.110[[#This Row],[Member Months]]*300*(AA26)*tbl_Exh3.110[[#This Row],[Accumulated Adjustments]]+tbl_Exh3.110[[#This Row],[One-Time Adjustment for High Claims (Non-Predictive Claims)]]+tbl_Exh3.110[[#This Row],[One-Time Adjustment for HCRP Receipts]]</f>
        <v>33388964.204977807</v>
      </c>
      <c r="D26" s="252">
        <f t="shared" si="0"/>
        <v>0.98499999999999999</v>
      </c>
      <c r="E26" s="353">
        <f ca="1">tbl_Exh3.110[[#This Row],[Allowed Claims 
(as of 3/31/2025)]]/tbl_Exh3.110[[#This Row],[Allowed Claims Completion factor (based on IBNP estimates)]]</f>
        <v>33897425.58880996</v>
      </c>
      <c r="F26" s="360"/>
      <c r="G26" s="360"/>
      <c r="H26" s="350">
        <f ca="1">0.01*tbl_Exh3.110[[#This Row],[Ultimate Allowed Claims]]</f>
        <v>338974.25588809961</v>
      </c>
      <c r="I26" s="353">
        <f ca="1">tbl_Exh3.110[[#This Row],[Ultimate Allowed Claims]]-tbl_Exh3.110[[#This Row],[One-Time Adjustment for High Claims (Non-Predictive Claims)]]-tbl_Exh3.110[[#This Row],[One-Time Adjustment for HCRP Receipts]]-tbl_Exh3.110[[#This Row],[Non-EHB Allowed Claims]]</f>
        <v>33558451.332921863</v>
      </c>
      <c r="J26" s="325">
        <f ca="1">tbl_Exh3.110[[#This Row],[Predictive Ultimate Allowed EHB Claims]]/tbl_Exh3.110[[#This Row],[Member Months]]</f>
        <v>335.58451332921862</v>
      </c>
      <c r="K26" s="242">
        <f t="shared" si="7"/>
        <v>1.018</v>
      </c>
      <c r="L26" s="242">
        <f t="shared" si="6"/>
        <v>1.0149999999999999</v>
      </c>
      <c r="M26" s="242">
        <f t="shared" si="6"/>
        <v>0.99</v>
      </c>
      <c r="N26" s="242">
        <f t="shared" si="6"/>
        <v>1.0049999999999999</v>
      </c>
      <c r="O26" s="242">
        <f>PRODUCT(tbl_Exh3.110[[#This Row],[Morbidity Adjustment]:[Other Adjustments]])</f>
        <v>1.0280519864999997</v>
      </c>
      <c r="P26" s="242" cm="1">
        <f t="array" ref="P26">PRODUCT(IF(VALUE(RIGHT(tbl_Exh3.110[Incurred Date (YYYYMM)],2))=VALUE(RIGHT(tbl_Exh3.110[[#This Row],[Incurred Date (YYYYMM)]],2)),IF(VALUE(LEFT(tbl_Exh3.110[Incurred Date (YYYYMM)],4))&lt;=VALUE(LEFT(tbl_Exh3.110[[#This Row],[Incurred Date (YYYYMM)]],4)),tbl_Exh3.110[Combined Adjustment],1),1))</f>
        <v>1.0280519864999997</v>
      </c>
      <c r="Q26" s="242">
        <f>INDEX(tbl_Exh3.110[Accumulated Adjustments],MATCH(VALUE(SUBSTITUTE(tbl_Exh3.110[[#This Row],[Incurred Date (YYYYMM)]],LEFT(tbl_Exh3.110[[#This Row],[Incurred Date (YYYYMM)]],4),ExperYear)),tbl_Exh3.110[Incurred Date (YYYYMM)],0))/tbl_Exh3.110[[#This Row],[Accumulated Adjustments]]</f>
        <v>1.0280519864999997</v>
      </c>
      <c r="R26" s="243">
        <f ca="1">tbl_Exh3.110[[#This Row],[Allowable Rating Adjustment Normalization Factor]]*tbl_Exh3.110[[#This Row],[Predictive Ultimate Allowed EHB Claims PMPM]]</f>
        <v>344.99832556673886</v>
      </c>
      <c r="S26" s="244"/>
      <c r="T26" s="245"/>
      <c r="U26" s="283"/>
      <c r="V26" s="283"/>
      <c r="W26" s="283"/>
      <c r="X26" s="248">
        <v>202304</v>
      </c>
      <c r="Y26" s="249">
        <f t="shared" si="8"/>
        <v>1.085</v>
      </c>
      <c r="Z26" s="249">
        <f t="shared" ca="1" si="1"/>
        <v>-2.4035086607358844E-3</v>
      </c>
      <c r="AA26" s="249">
        <f t="shared" ca="1" si="2"/>
        <v>1.0825964913392641</v>
      </c>
      <c r="AB26" s="250"/>
      <c r="AC26" s="250"/>
      <c r="AD26" s="250"/>
    </row>
    <row r="27" spans="1:30" s="238" customFormat="1" ht="15.75" x14ac:dyDescent="0.25">
      <c r="A27" s="239">
        <f t="shared" si="3"/>
        <v>202305</v>
      </c>
      <c r="B27" s="251">
        <v>100000</v>
      </c>
      <c r="C27" s="350">
        <f ca="1">tbl_Exh3.110[[#This Row],[Member Months]]*300*(AA27)*tbl_Exh3.110[[#This Row],[Accumulated Adjustments]]+tbl_Exh3.110[[#This Row],[One-Time Adjustment for High Claims (Non-Predictive Claims)]]+tbl_Exh3.110[[#This Row],[One-Time Adjustment for HCRP Receipts]]</f>
        <v>34856856.576484069</v>
      </c>
      <c r="D27" s="252">
        <f t="shared" si="0"/>
        <v>0.98499999999999999</v>
      </c>
      <c r="E27" s="353">
        <f ca="1">tbl_Exh3.110[[#This Row],[Allowed Claims 
(as of 3/31/2025)]]/tbl_Exh3.110[[#This Row],[Allowed Claims Completion factor (based on IBNP estimates)]]</f>
        <v>35387671.651252866</v>
      </c>
      <c r="F27" s="360"/>
      <c r="G27" s="360">
        <v>1500000</v>
      </c>
      <c r="H27" s="350">
        <f ca="1">0.01*tbl_Exh3.110[[#This Row],[Ultimate Allowed Claims]]</f>
        <v>353876.71651252866</v>
      </c>
      <c r="I27" s="353">
        <f ca="1">tbl_Exh3.110[[#This Row],[Ultimate Allowed Claims]]-tbl_Exh3.110[[#This Row],[One-Time Adjustment for High Claims (Non-Predictive Claims)]]-tbl_Exh3.110[[#This Row],[One-Time Adjustment for HCRP Receipts]]-tbl_Exh3.110[[#This Row],[Non-EHB Allowed Claims]]</f>
        <v>33533794.934740338</v>
      </c>
      <c r="J27" s="325">
        <f ca="1">tbl_Exh3.110[[#This Row],[Predictive Ultimate Allowed EHB Claims]]/tbl_Exh3.110[[#This Row],[Member Months]]</f>
        <v>335.33794934740337</v>
      </c>
      <c r="K27" s="242">
        <f t="shared" si="7"/>
        <v>1.018</v>
      </c>
      <c r="L27" s="242">
        <f t="shared" si="6"/>
        <v>1.0149999999999999</v>
      </c>
      <c r="M27" s="242">
        <f t="shared" si="6"/>
        <v>0.99</v>
      </c>
      <c r="N27" s="242">
        <f t="shared" si="6"/>
        <v>1.0049999999999999</v>
      </c>
      <c r="O27" s="242">
        <f>PRODUCT(tbl_Exh3.110[[#This Row],[Morbidity Adjustment]:[Other Adjustments]])</f>
        <v>1.0280519864999997</v>
      </c>
      <c r="P27" s="242" cm="1">
        <f t="array" ref="P27">PRODUCT(IF(VALUE(RIGHT(tbl_Exh3.110[Incurred Date (YYYYMM)],2))=VALUE(RIGHT(tbl_Exh3.110[[#This Row],[Incurred Date (YYYYMM)]],2)),IF(VALUE(LEFT(tbl_Exh3.110[Incurred Date (YYYYMM)],4))&lt;=VALUE(LEFT(tbl_Exh3.110[[#This Row],[Incurred Date (YYYYMM)]],4)),tbl_Exh3.110[Combined Adjustment],1),1))</f>
        <v>1.0280519864999997</v>
      </c>
      <c r="Q27" s="242">
        <f>INDEX(tbl_Exh3.110[Accumulated Adjustments],MATCH(VALUE(SUBSTITUTE(tbl_Exh3.110[[#This Row],[Incurred Date (YYYYMM)]],LEFT(tbl_Exh3.110[[#This Row],[Incurred Date (YYYYMM)]],4),ExperYear)),tbl_Exh3.110[Incurred Date (YYYYMM)],0))/tbl_Exh3.110[[#This Row],[Accumulated Adjustments]]</f>
        <v>1.0280519864999997</v>
      </c>
      <c r="R27" s="243">
        <f ca="1">tbl_Exh3.110[[#This Row],[Allowable Rating Adjustment Normalization Factor]]*tbl_Exh3.110[[#This Row],[Predictive Ultimate Allowed EHB Claims PMPM]]</f>
        <v>344.74484497543432</v>
      </c>
      <c r="S27" s="244"/>
      <c r="T27" s="245"/>
      <c r="U27" s="283"/>
      <c r="V27" s="283"/>
      <c r="W27" s="283"/>
      <c r="X27" s="248">
        <v>202305</v>
      </c>
      <c r="Y27" s="249">
        <f t="shared" si="8"/>
        <v>1.085</v>
      </c>
      <c r="Z27" s="249">
        <f t="shared" ca="1" si="1"/>
        <v>-3.4445594025065114E-3</v>
      </c>
      <c r="AA27" s="249">
        <f t="shared" ca="1" si="2"/>
        <v>1.0815554405974934</v>
      </c>
      <c r="AB27" s="250"/>
      <c r="AC27" s="250"/>
      <c r="AD27" s="250"/>
    </row>
    <row r="28" spans="1:30" s="238" customFormat="1" ht="15.75" x14ac:dyDescent="0.25">
      <c r="A28" s="239">
        <f t="shared" si="3"/>
        <v>202306</v>
      </c>
      <c r="B28" s="251">
        <v>100000</v>
      </c>
      <c r="C28" s="350">
        <f ca="1">tbl_Exh3.110[[#This Row],[Member Months]]*300*(AA28)*tbl_Exh3.110[[#This Row],[Accumulated Adjustments]]+tbl_Exh3.110[[#This Row],[One-Time Adjustment for High Claims (Non-Predictive Claims)]]+tbl_Exh3.110[[#This Row],[One-Time Adjustment for HCRP Receipts]]</f>
        <v>33460970.532324113</v>
      </c>
      <c r="D28" s="252">
        <f t="shared" si="0"/>
        <v>0.98499999999999999</v>
      </c>
      <c r="E28" s="353">
        <f ca="1">tbl_Exh3.110[[#This Row],[Allowed Claims 
(as of 3/31/2025)]]/tbl_Exh3.110[[#This Row],[Allowed Claims Completion factor (based on IBNP estimates)]]</f>
        <v>33970528.459212296</v>
      </c>
      <c r="F28" s="360"/>
      <c r="G28" s="360"/>
      <c r="H28" s="350">
        <f ca="1">0.01*tbl_Exh3.110[[#This Row],[Ultimate Allowed Claims]]</f>
        <v>339705.28459212295</v>
      </c>
      <c r="I28" s="353">
        <f ca="1">tbl_Exh3.110[[#This Row],[Ultimate Allowed Claims]]-tbl_Exh3.110[[#This Row],[One-Time Adjustment for High Claims (Non-Predictive Claims)]]-tbl_Exh3.110[[#This Row],[One-Time Adjustment for HCRP Receipts]]-tbl_Exh3.110[[#This Row],[Non-EHB Allowed Claims]]</f>
        <v>33630823.174620174</v>
      </c>
      <c r="J28" s="325">
        <f ca="1">tbl_Exh3.110[[#This Row],[Predictive Ultimate Allowed EHB Claims]]/tbl_Exh3.110[[#This Row],[Member Months]]</f>
        <v>336.30823174620173</v>
      </c>
      <c r="K28" s="242">
        <f t="shared" si="7"/>
        <v>1.018</v>
      </c>
      <c r="L28" s="242">
        <f t="shared" si="6"/>
        <v>1.0149999999999999</v>
      </c>
      <c r="M28" s="242">
        <f t="shared" si="6"/>
        <v>0.99</v>
      </c>
      <c r="N28" s="242">
        <f t="shared" si="6"/>
        <v>1.0049999999999999</v>
      </c>
      <c r="O28" s="242">
        <f>PRODUCT(tbl_Exh3.110[[#This Row],[Morbidity Adjustment]:[Other Adjustments]])</f>
        <v>1.0280519864999997</v>
      </c>
      <c r="P28" s="242" cm="1">
        <f t="array" ref="P28">PRODUCT(IF(VALUE(RIGHT(tbl_Exh3.110[Incurred Date (YYYYMM)],2))=VALUE(RIGHT(tbl_Exh3.110[[#This Row],[Incurred Date (YYYYMM)]],2)),IF(VALUE(LEFT(tbl_Exh3.110[Incurred Date (YYYYMM)],4))&lt;=VALUE(LEFT(tbl_Exh3.110[[#This Row],[Incurred Date (YYYYMM)]],4)),tbl_Exh3.110[Combined Adjustment],1),1))</f>
        <v>1.0280519864999997</v>
      </c>
      <c r="Q28" s="242">
        <f>INDEX(tbl_Exh3.110[Accumulated Adjustments],MATCH(VALUE(SUBSTITUTE(tbl_Exh3.110[[#This Row],[Incurred Date (YYYYMM)]],LEFT(tbl_Exh3.110[[#This Row],[Incurred Date (YYYYMM)]],4),ExperYear)),tbl_Exh3.110[Incurred Date (YYYYMM)],0))/tbl_Exh3.110[[#This Row],[Accumulated Adjustments]]</f>
        <v>1.0280519864999997</v>
      </c>
      <c r="R28" s="243">
        <f ca="1">tbl_Exh3.110[[#This Row],[Allowable Rating Adjustment Normalization Factor]]*tbl_Exh3.110[[#This Row],[Predictive Ultimate Allowed EHB Claims PMPM]]</f>
        <v>345.74234572298496</v>
      </c>
      <c r="S28" s="244"/>
      <c r="T28" s="245"/>
      <c r="U28" s="283"/>
      <c r="V28" s="283"/>
      <c r="W28" s="283"/>
      <c r="X28" s="248">
        <v>202306</v>
      </c>
      <c r="Y28" s="249">
        <f t="shared" si="8"/>
        <v>1.085</v>
      </c>
      <c r="Z28" s="249">
        <f t="shared" ca="1" si="1"/>
        <v>-6.8791211557971417E-5</v>
      </c>
      <c r="AA28" s="249">
        <f t="shared" ca="1" si="2"/>
        <v>1.084931208788442</v>
      </c>
      <c r="AB28" s="250"/>
      <c r="AC28" s="250"/>
      <c r="AD28" s="250"/>
    </row>
    <row r="29" spans="1:30" s="238" customFormat="1" ht="15.75" x14ac:dyDescent="0.25">
      <c r="A29" s="239">
        <f t="shared" si="3"/>
        <v>202307</v>
      </c>
      <c r="B29" s="251">
        <v>100000</v>
      </c>
      <c r="C29" s="350">
        <f ca="1">tbl_Exh3.110[[#This Row],[Member Months]]*300*(AA29)*tbl_Exh3.110[[#This Row],[Accumulated Adjustments]]+tbl_Exh3.110[[#This Row],[One-Time Adjustment for High Claims (Non-Predictive Claims)]]+tbl_Exh3.110[[#This Row],[One-Time Adjustment for HCRP Receipts]]</f>
        <v>33319111.925841544</v>
      </c>
      <c r="D29" s="252">
        <f t="shared" si="0"/>
        <v>0.98499999999999999</v>
      </c>
      <c r="E29" s="353">
        <f ca="1">tbl_Exh3.110[[#This Row],[Allowed Claims 
(as of 3/31/2025)]]/tbl_Exh3.110[[#This Row],[Allowed Claims Completion factor (based on IBNP estimates)]]</f>
        <v>33826509.56938228</v>
      </c>
      <c r="F29" s="360"/>
      <c r="G29" s="360"/>
      <c r="H29" s="350">
        <f ca="1">0.01*tbl_Exh3.110[[#This Row],[Ultimate Allowed Claims]]</f>
        <v>338265.09569382283</v>
      </c>
      <c r="I29" s="353">
        <f ca="1">tbl_Exh3.110[[#This Row],[Ultimate Allowed Claims]]-tbl_Exh3.110[[#This Row],[One-Time Adjustment for High Claims (Non-Predictive Claims)]]-tbl_Exh3.110[[#This Row],[One-Time Adjustment for HCRP Receipts]]-tbl_Exh3.110[[#This Row],[Non-EHB Allowed Claims]]</f>
        <v>33488244.473688457</v>
      </c>
      <c r="J29" s="325">
        <f ca="1">tbl_Exh3.110[[#This Row],[Predictive Ultimate Allowed EHB Claims]]/tbl_Exh3.110[[#This Row],[Member Months]]</f>
        <v>334.88244473688457</v>
      </c>
      <c r="K29" s="242">
        <f t="shared" si="7"/>
        <v>1.018</v>
      </c>
      <c r="L29" s="242">
        <f t="shared" si="6"/>
        <v>1.0149999999999999</v>
      </c>
      <c r="M29" s="242">
        <f t="shared" si="6"/>
        <v>0.99</v>
      </c>
      <c r="N29" s="242">
        <f t="shared" si="6"/>
        <v>1.0049999999999999</v>
      </c>
      <c r="O29" s="242">
        <f>PRODUCT(tbl_Exh3.110[[#This Row],[Morbidity Adjustment]:[Other Adjustments]])</f>
        <v>1.0280519864999997</v>
      </c>
      <c r="P29" s="242" cm="1">
        <f t="array" ref="P29">PRODUCT(IF(VALUE(RIGHT(tbl_Exh3.110[Incurred Date (YYYYMM)],2))=VALUE(RIGHT(tbl_Exh3.110[[#This Row],[Incurred Date (YYYYMM)]],2)),IF(VALUE(LEFT(tbl_Exh3.110[Incurred Date (YYYYMM)],4))&lt;=VALUE(LEFT(tbl_Exh3.110[[#This Row],[Incurred Date (YYYYMM)]],4)),tbl_Exh3.110[Combined Adjustment],1),1))</f>
        <v>1.0280519864999997</v>
      </c>
      <c r="Q29" s="242">
        <f>INDEX(tbl_Exh3.110[Accumulated Adjustments],MATCH(VALUE(SUBSTITUTE(tbl_Exh3.110[[#This Row],[Incurred Date (YYYYMM)]],LEFT(tbl_Exh3.110[[#This Row],[Incurred Date (YYYYMM)]],4),ExperYear)),tbl_Exh3.110[Incurred Date (YYYYMM)],0))/tbl_Exh3.110[[#This Row],[Accumulated Adjustments]]</f>
        <v>1.0280519864999997</v>
      </c>
      <c r="R29" s="243">
        <f ca="1">tbl_Exh3.110[[#This Row],[Allowable Rating Adjustment Normalization Factor]]*tbl_Exh3.110[[#This Row],[Predictive Ultimate Allowed EHB Claims PMPM]]</f>
        <v>344.27656255573055</v>
      </c>
      <c r="S29" s="244"/>
      <c r="T29" s="245"/>
      <c r="U29" s="283"/>
      <c r="V29" s="283"/>
      <c r="W29" s="283"/>
      <c r="X29" s="248">
        <v>202307</v>
      </c>
      <c r="Y29" s="249">
        <f t="shared" si="8"/>
        <v>1.085</v>
      </c>
      <c r="Z29" s="249">
        <f t="shared" ca="1" si="1"/>
        <v>-4.668383720672473E-3</v>
      </c>
      <c r="AA29" s="249">
        <f t="shared" ca="1" si="2"/>
        <v>1.0803316162793275</v>
      </c>
      <c r="AB29" s="250"/>
      <c r="AC29" s="250"/>
      <c r="AD29" s="250"/>
    </row>
    <row r="30" spans="1:30" s="238" customFormat="1" ht="15.75" x14ac:dyDescent="0.25">
      <c r="A30" s="239">
        <f t="shared" si="3"/>
        <v>202308</v>
      </c>
      <c r="B30" s="251">
        <v>100000</v>
      </c>
      <c r="C30" s="350">
        <f ca="1">tbl_Exh3.110[[#This Row],[Member Months]]*300*(AA30)*tbl_Exh3.110[[#This Row],[Accumulated Adjustments]]+tbl_Exh3.110[[#This Row],[One-Time Adjustment for High Claims (Non-Predictive Claims)]]+tbl_Exh3.110[[#This Row],[One-Time Adjustment for HCRP Receipts]]</f>
        <v>33322593.554757126</v>
      </c>
      <c r="D30" s="252">
        <f t="shared" si="0"/>
        <v>0.98499999999999999</v>
      </c>
      <c r="E30" s="353">
        <f ca="1">tbl_Exh3.110[[#This Row],[Allowed Claims 
(as of 3/31/2025)]]/tbl_Exh3.110[[#This Row],[Allowed Claims Completion factor (based on IBNP estimates)]]</f>
        <v>33830044.21802754</v>
      </c>
      <c r="F30" s="360"/>
      <c r="G30" s="360"/>
      <c r="H30" s="350">
        <f ca="1">0.01*tbl_Exh3.110[[#This Row],[Ultimate Allowed Claims]]</f>
        <v>338300.44218027539</v>
      </c>
      <c r="I30" s="353">
        <f ca="1">tbl_Exh3.110[[#This Row],[Ultimate Allowed Claims]]-tbl_Exh3.110[[#This Row],[One-Time Adjustment for High Claims (Non-Predictive Claims)]]-tbl_Exh3.110[[#This Row],[One-Time Adjustment for HCRP Receipts]]-tbl_Exh3.110[[#This Row],[Non-EHB Allowed Claims]]</f>
        <v>33491743.775847264</v>
      </c>
      <c r="J30" s="325">
        <f ca="1">tbl_Exh3.110[[#This Row],[Predictive Ultimate Allowed EHB Claims]]/tbl_Exh3.110[[#This Row],[Member Months]]</f>
        <v>334.91743775847266</v>
      </c>
      <c r="K30" s="242">
        <f t="shared" si="7"/>
        <v>1.018</v>
      </c>
      <c r="L30" s="242">
        <f t="shared" si="6"/>
        <v>1.0149999999999999</v>
      </c>
      <c r="M30" s="242">
        <f t="shared" si="6"/>
        <v>0.99</v>
      </c>
      <c r="N30" s="242">
        <f t="shared" si="6"/>
        <v>1.0049999999999999</v>
      </c>
      <c r="O30" s="242">
        <f>PRODUCT(tbl_Exh3.110[[#This Row],[Morbidity Adjustment]:[Other Adjustments]])</f>
        <v>1.0280519864999997</v>
      </c>
      <c r="P30" s="242" cm="1">
        <f t="array" ref="P30">PRODUCT(IF(VALUE(RIGHT(tbl_Exh3.110[Incurred Date (YYYYMM)],2))=VALUE(RIGHT(tbl_Exh3.110[[#This Row],[Incurred Date (YYYYMM)]],2)),IF(VALUE(LEFT(tbl_Exh3.110[Incurred Date (YYYYMM)],4))&lt;=VALUE(LEFT(tbl_Exh3.110[[#This Row],[Incurred Date (YYYYMM)]],4)),tbl_Exh3.110[Combined Adjustment],1),1))</f>
        <v>1.0280519864999997</v>
      </c>
      <c r="Q30" s="242">
        <f>INDEX(tbl_Exh3.110[Accumulated Adjustments],MATCH(VALUE(SUBSTITUTE(tbl_Exh3.110[[#This Row],[Incurred Date (YYYYMM)]],LEFT(tbl_Exh3.110[[#This Row],[Incurred Date (YYYYMM)]],4),ExperYear)),tbl_Exh3.110[Incurred Date (YYYYMM)],0))/tbl_Exh3.110[[#This Row],[Accumulated Adjustments]]</f>
        <v>1.0280519864999997</v>
      </c>
      <c r="R30" s="243">
        <f ca="1">tbl_Exh3.110[[#This Row],[Allowable Rating Adjustment Normalization Factor]]*tbl_Exh3.110[[#This Row],[Predictive Ultimate Allowed EHB Claims PMPM]]</f>
        <v>344.31253720108782</v>
      </c>
      <c r="S30" s="244"/>
      <c r="T30" s="245"/>
      <c r="U30" s="283"/>
      <c r="V30" s="283"/>
      <c r="W30" s="283"/>
      <c r="X30" s="248">
        <v>202308</v>
      </c>
      <c r="Y30" s="249">
        <f t="shared" si="8"/>
        <v>1.085</v>
      </c>
      <c r="Z30" s="249">
        <f t="shared" ca="1" si="1"/>
        <v>-4.5554961442559154E-3</v>
      </c>
      <c r="AA30" s="249">
        <f t="shared" ca="1" si="2"/>
        <v>1.080444503855744</v>
      </c>
      <c r="AB30" s="250"/>
      <c r="AC30" s="250"/>
      <c r="AD30" s="250"/>
    </row>
    <row r="31" spans="1:30" s="238" customFormat="1" ht="15.75" x14ac:dyDescent="0.25">
      <c r="A31" s="239">
        <f t="shared" si="3"/>
        <v>202309</v>
      </c>
      <c r="B31" s="251">
        <v>100000</v>
      </c>
      <c r="C31" s="350">
        <f ca="1">tbl_Exh3.110[[#This Row],[Member Months]]*300*(AA31)*tbl_Exh3.110[[#This Row],[Accumulated Adjustments]]+tbl_Exh3.110[[#This Row],[One-Time Adjustment for High Claims (Non-Predictive Claims)]]+tbl_Exh3.110[[#This Row],[One-Time Adjustment for HCRP Receipts]]</f>
        <v>33414659.582669973</v>
      </c>
      <c r="D31" s="252">
        <f t="shared" si="0"/>
        <v>0.98499999999999999</v>
      </c>
      <c r="E31" s="353">
        <f ca="1">tbl_Exh3.110[[#This Row],[Allowed Claims 
(as of 3/31/2025)]]/tbl_Exh3.110[[#This Row],[Allowed Claims Completion factor (based on IBNP estimates)]]</f>
        <v>33923512.266670026</v>
      </c>
      <c r="F31" s="360"/>
      <c r="G31" s="360"/>
      <c r="H31" s="350">
        <f ca="1">0.01*tbl_Exh3.110[[#This Row],[Ultimate Allowed Claims]]</f>
        <v>339235.12266670028</v>
      </c>
      <c r="I31" s="353">
        <f ca="1">tbl_Exh3.110[[#This Row],[Ultimate Allowed Claims]]-tbl_Exh3.110[[#This Row],[One-Time Adjustment for High Claims (Non-Predictive Claims)]]-tbl_Exh3.110[[#This Row],[One-Time Adjustment for HCRP Receipts]]-tbl_Exh3.110[[#This Row],[Non-EHB Allowed Claims]]</f>
        <v>33584277.144003324</v>
      </c>
      <c r="J31" s="325">
        <f ca="1">tbl_Exh3.110[[#This Row],[Predictive Ultimate Allowed EHB Claims]]/tbl_Exh3.110[[#This Row],[Member Months]]</f>
        <v>335.84277144003323</v>
      </c>
      <c r="K31" s="242">
        <f t="shared" si="7"/>
        <v>1.018</v>
      </c>
      <c r="L31" s="242">
        <f t="shared" si="6"/>
        <v>1.0149999999999999</v>
      </c>
      <c r="M31" s="242">
        <f t="shared" si="6"/>
        <v>0.99</v>
      </c>
      <c r="N31" s="242">
        <f t="shared" si="6"/>
        <v>1.0049999999999999</v>
      </c>
      <c r="O31" s="242">
        <f>PRODUCT(tbl_Exh3.110[[#This Row],[Morbidity Adjustment]:[Other Adjustments]])</f>
        <v>1.0280519864999997</v>
      </c>
      <c r="P31" s="242" cm="1">
        <f t="array" ref="P31">PRODUCT(IF(VALUE(RIGHT(tbl_Exh3.110[Incurred Date (YYYYMM)],2))=VALUE(RIGHT(tbl_Exh3.110[[#This Row],[Incurred Date (YYYYMM)]],2)),IF(VALUE(LEFT(tbl_Exh3.110[Incurred Date (YYYYMM)],4))&lt;=VALUE(LEFT(tbl_Exh3.110[[#This Row],[Incurred Date (YYYYMM)]],4)),tbl_Exh3.110[Combined Adjustment],1),1))</f>
        <v>1.0280519864999997</v>
      </c>
      <c r="Q31" s="242">
        <f>INDEX(tbl_Exh3.110[Accumulated Adjustments],MATCH(VALUE(SUBSTITUTE(tbl_Exh3.110[[#This Row],[Incurred Date (YYYYMM)]],LEFT(tbl_Exh3.110[[#This Row],[Incurred Date (YYYYMM)]],4),ExperYear)),tbl_Exh3.110[Incurred Date (YYYYMM)],0))/tbl_Exh3.110[[#This Row],[Accumulated Adjustments]]</f>
        <v>1.0280519864999997</v>
      </c>
      <c r="R31" s="243">
        <f ca="1">tbl_Exh3.110[[#This Row],[Allowable Rating Adjustment Normalization Factor]]*tbl_Exh3.110[[#This Row],[Predictive Ultimate Allowed EHB Claims PMPM]]</f>
        <v>345.26382833059154</v>
      </c>
      <c r="S31" s="244"/>
      <c r="T31" s="245"/>
      <c r="U31" s="283"/>
      <c r="V31" s="283"/>
      <c r="W31" s="283"/>
      <c r="X31" s="248">
        <v>202309</v>
      </c>
      <c r="Y31" s="249">
        <f t="shared" si="8"/>
        <v>1.085</v>
      </c>
      <c r="Z31" s="249">
        <f t="shared" ca="1" si="1"/>
        <v>-1.5703673400767255E-3</v>
      </c>
      <c r="AA31" s="249">
        <f t="shared" ca="1" si="2"/>
        <v>1.0834296326599233</v>
      </c>
      <c r="AB31" s="250"/>
      <c r="AC31" s="250"/>
      <c r="AD31" s="250"/>
    </row>
    <row r="32" spans="1:30" s="238" customFormat="1" ht="15.75" x14ac:dyDescent="0.25">
      <c r="A32" s="239">
        <f t="shared" si="3"/>
        <v>202310</v>
      </c>
      <c r="B32" s="251">
        <v>100000</v>
      </c>
      <c r="C32" s="350">
        <f ca="1">tbl_Exh3.110[[#This Row],[Member Months]]*300*(AA32)*tbl_Exh3.110[[#This Row],[Accumulated Adjustments]]+tbl_Exh3.110[[#This Row],[One-Time Adjustment for High Claims (Non-Predictive Claims)]]+tbl_Exh3.110[[#This Row],[One-Time Adjustment for HCRP Receipts]]</f>
        <v>33336505.660792679</v>
      </c>
      <c r="D32" s="252">
        <f t="shared" si="0"/>
        <v>0.98499999999999999</v>
      </c>
      <c r="E32" s="353">
        <f ca="1">tbl_Exh3.110[[#This Row],[Allowed Claims 
(as of 3/31/2025)]]/tbl_Exh3.110[[#This Row],[Allowed Claims Completion factor (based on IBNP estimates)]]</f>
        <v>33844168.183545865</v>
      </c>
      <c r="F32" s="360"/>
      <c r="G32" s="360"/>
      <c r="H32" s="350">
        <f ca="1">0.01*tbl_Exh3.110[[#This Row],[Ultimate Allowed Claims]]</f>
        <v>338441.68183545867</v>
      </c>
      <c r="I32" s="353">
        <f ca="1">tbl_Exh3.110[[#This Row],[Ultimate Allowed Claims]]-tbl_Exh3.110[[#This Row],[One-Time Adjustment for High Claims (Non-Predictive Claims)]]-tbl_Exh3.110[[#This Row],[One-Time Adjustment for HCRP Receipts]]-tbl_Exh3.110[[#This Row],[Non-EHB Allowed Claims]]</f>
        <v>33505726.501710407</v>
      </c>
      <c r="J32" s="325">
        <f ca="1">tbl_Exh3.110[[#This Row],[Predictive Ultimate Allowed EHB Claims]]/tbl_Exh3.110[[#This Row],[Member Months]]</f>
        <v>335.0572650171041</v>
      </c>
      <c r="K32" s="242">
        <f t="shared" si="7"/>
        <v>1.018</v>
      </c>
      <c r="L32" s="242">
        <f t="shared" si="6"/>
        <v>1.0149999999999999</v>
      </c>
      <c r="M32" s="242">
        <f t="shared" si="6"/>
        <v>0.99</v>
      </c>
      <c r="N32" s="242">
        <f t="shared" si="6"/>
        <v>1.0049999999999999</v>
      </c>
      <c r="O32" s="242">
        <f>PRODUCT(tbl_Exh3.110[[#This Row],[Morbidity Adjustment]:[Other Adjustments]])</f>
        <v>1.0280519864999997</v>
      </c>
      <c r="P32" s="242" cm="1">
        <f t="array" ref="P32">PRODUCT(IF(VALUE(RIGHT(tbl_Exh3.110[Incurred Date (YYYYMM)],2))=VALUE(RIGHT(tbl_Exh3.110[[#This Row],[Incurred Date (YYYYMM)]],2)),IF(VALUE(LEFT(tbl_Exh3.110[Incurred Date (YYYYMM)],4))&lt;=VALUE(LEFT(tbl_Exh3.110[[#This Row],[Incurred Date (YYYYMM)]],4)),tbl_Exh3.110[Combined Adjustment],1),1))</f>
        <v>1.0280519864999997</v>
      </c>
      <c r="Q32" s="242">
        <f>INDEX(tbl_Exh3.110[Accumulated Adjustments],MATCH(VALUE(SUBSTITUTE(tbl_Exh3.110[[#This Row],[Incurred Date (YYYYMM)]],LEFT(tbl_Exh3.110[[#This Row],[Incurred Date (YYYYMM)]],4),ExperYear)),tbl_Exh3.110[Incurred Date (YYYYMM)],0))/tbl_Exh3.110[[#This Row],[Accumulated Adjustments]]</f>
        <v>1.0280519864999997</v>
      </c>
      <c r="R32" s="243">
        <f ca="1">tbl_Exh3.110[[#This Row],[Allowable Rating Adjustment Normalization Factor]]*tbl_Exh3.110[[#This Row],[Predictive Ultimate Allowed EHB Claims PMPM]]</f>
        <v>344.45628689209076</v>
      </c>
      <c r="S32" s="244"/>
      <c r="T32" s="245"/>
      <c r="U32" s="283"/>
      <c r="V32" s="283"/>
      <c r="W32" s="283"/>
      <c r="X32" s="248">
        <v>202310</v>
      </c>
      <c r="Y32" s="249">
        <f t="shared" si="8"/>
        <v>1.085</v>
      </c>
      <c r="Z32" s="249">
        <f t="shared" ca="1" si="1"/>
        <v>-4.1044130531853141E-3</v>
      </c>
      <c r="AA32" s="249">
        <f t="shared" ca="1" si="2"/>
        <v>1.0808955869468146</v>
      </c>
      <c r="AB32" s="250"/>
      <c r="AC32" s="250"/>
      <c r="AD32" s="250"/>
    </row>
    <row r="33" spans="1:30" s="238" customFormat="1" ht="15.75" x14ac:dyDescent="0.25">
      <c r="A33" s="239">
        <f t="shared" si="3"/>
        <v>202311</v>
      </c>
      <c r="B33" s="251">
        <v>100000</v>
      </c>
      <c r="C33" s="350">
        <f ca="1">tbl_Exh3.110[[#This Row],[Member Months]]*300*(AA33)*tbl_Exh3.110[[#This Row],[Accumulated Adjustments]]+tbl_Exh3.110[[#This Row],[One-Time Adjustment for High Claims (Non-Predictive Claims)]]+tbl_Exh3.110[[#This Row],[One-Time Adjustment for HCRP Receipts]]</f>
        <v>33526404.078983944</v>
      </c>
      <c r="D33" s="252">
        <f t="shared" si="0"/>
        <v>0.98499999999999999</v>
      </c>
      <c r="E33" s="353">
        <f ca="1">tbl_Exh3.110[[#This Row],[Allowed Claims 
(as of 3/31/2025)]]/tbl_Exh3.110[[#This Row],[Allowed Claims Completion factor (based on IBNP estimates)]]</f>
        <v>34036958.455821261</v>
      </c>
      <c r="F33" s="360">
        <v>100000</v>
      </c>
      <c r="G33" s="360"/>
      <c r="H33" s="350">
        <f ca="1">0.01*tbl_Exh3.110[[#This Row],[Ultimate Allowed Claims]]</f>
        <v>340369.58455821261</v>
      </c>
      <c r="I33" s="353">
        <f ca="1">tbl_Exh3.110[[#This Row],[Ultimate Allowed Claims]]-tbl_Exh3.110[[#This Row],[One-Time Adjustment for High Claims (Non-Predictive Claims)]]-tbl_Exh3.110[[#This Row],[One-Time Adjustment for HCRP Receipts]]-tbl_Exh3.110[[#This Row],[Non-EHB Allowed Claims]]</f>
        <v>33596588.87126305</v>
      </c>
      <c r="J33" s="325">
        <f ca="1">tbl_Exh3.110[[#This Row],[Predictive Ultimate Allowed EHB Claims]]/tbl_Exh3.110[[#This Row],[Member Months]]</f>
        <v>335.96588871263049</v>
      </c>
      <c r="K33" s="242">
        <f t="shared" si="7"/>
        <v>1.018</v>
      </c>
      <c r="L33" s="242">
        <f t="shared" si="6"/>
        <v>1.0149999999999999</v>
      </c>
      <c r="M33" s="242">
        <f t="shared" si="6"/>
        <v>0.99</v>
      </c>
      <c r="N33" s="242">
        <f t="shared" si="6"/>
        <v>1.0049999999999999</v>
      </c>
      <c r="O33" s="242">
        <f>PRODUCT(tbl_Exh3.110[[#This Row],[Morbidity Adjustment]:[Other Adjustments]])</f>
        <v>1.0280519864999997</v>
      </c>
      <c r="P33" s="242" cm="1">
        <f t="array" ref="P33">PRODUCT(IF(VALUE(RIGHT(tbl_Exh3.110[Incurred Date (YYYYMM)],2))=VALUE(RIGHT(tbl_Exh3.110[[#This Row],[Incurred Date (YYYYMM)]],2)),IF(VALUE(LEFT(tbl_Exh3.110[Incurred Date (YYYYMM)],4))&lt;=VALUE(LEFT(tbl_Exh3.110[[#This Row],[Incurred Date (YYYYMM)]],4)),tbl_Exh3.110[Combined Adjustment],1),1))</f>
        <v>1.0280519864999997</v>
      </c>
      <c r="Q33" s="242">
        <f>INDEX(tbl_Exh3.110[Accumulated Adjustments],MATCH(VALUE(SUBSTITUTE(tbl_Exh3.110[[#This Row],[Incurred Date (YYYYMM)]],LEFT(tbl_Exh3.110[[#This Row],[Incurred Date (YYYYMM)]],4),ExperYear)),tbl_Exh3.110[Incurred Date (YYYYMM)],0))/tbl_Exh3.110[[#This Row],[Accumulated Adjustments]]</f>
        <v>1.0280519864999997</v>
      </c>
      <c r="R33" s="243">
        <f ca="1">tbl_Exh3.110[[#This Row],[Allowable Rating Adjustment Normalization Factor]]*tbl_Exh3.110[[#This Row],[Predictive Ultimate Allowed EHB Claims PMPM]]</f>
        <v>345.39039928725759</v>
      </c>
      <c r="S33" s="254"/>
      <c r="T33" s="245"/>
      <c r="U33" s="283"/>
      <c r="V33" s="283"/>
      <c r="W33" s="283"/>
      <c r="X33" s="248">
        <v>202311</v>
      </c>
      <c r="Y33" s="249">
        <f t="shared" si="8"/>
        <v>1.085</v>
      </c>
      <c r="Z33" s="249">
        <f t="shared" ca="1" si="1"/>
        <v>-1.1895663537389734E-3</v>
      </c>
      <c r="AA33" s="249">
        <f t="shared" ca="1" si="2"/>
        <v>1.0838104336462611</v>
      </c>
      <c r="AB33" s="250"/>
      <c r="AC33" s="250"/>
      <c r="AD33" s="250"/>
    </row>
    <row r="34" spans="1:30" s="238" customFormat="1" ht="16.5" thickBot="1" x14ac:dyDescent="0.3">
      <c r="A34" s="334">
        <f t="shared" si="3"/>
        <v>202312</v>
      </c>
      <c r="B34" s="345">
        <v>100000</v>
      </c>
      <c r="C34" s="351">
        <f ca="1">tbl_Exh3.110[[#This Row],[Member Months]]*300*(AA34)*tbl_Exh3.110[[#This Row],[Accumulated Adjustments]]+tbl_Exh3.110[[#This Row],[One-Time Adjustment for High Claims (Non-Predictive Claims)]]+tbl_Exh3.110[[#This Row],[One-Time Adjustment for HCRP Receipts]]</f>
        <v>33348561.651860368</v>
      </c>
      <c r="D34" s="346">
        <f t="shared" si="0"/>
        <v>0.98499999999999999</v>
      </c>
      <c r="E34" s="354">
        <f ca="1">tbl_Exh3.110[[#This Row],[Allowed Claims 
(as of 3/31/2025)]]/tbl_Exh3.110[[#This Row],[Allowed Claims Completion factor (based on IBNP estimates)]]</f>
        <v>33856407.768386163</v>
      </c>
      <c r="F34" s="361"/>
      <c r="G34" s="361"/>
      <c r="H34" s="351">
        <f ca="1">0.01*tbl_Exh3.110[[#This Row],[Ultimate Allowed Claims]]</f>
        <v>338564.07768386166</v>
      </c>
      <c r="I34" s="354">
        <f ca="1">tbl_Exh3.110[[#This Row],[Ultimate Allowed Claims]]-tbl_Exh3.110[[#This Row],[One-Time Adjustment for High Claims (Non-Predictive Claims)]]-tbl_Exh3.110[[#This Row],[One-Time Adjustment for HCRP Receipts]]-tbl_Exh3.110[[#This Row],[Non-EHB Allowed Claims]]</f>
        <v>33517843.690702301</v>
      </c>
      <c r="J34" s="337">
        <f ca="1">tbl_Exh3.110[[#This Row],[Predictive Ultimate Allowed EHB Claims]]/tbl_Exh3.110[[#This Row],[Member Months]]</f>
        <v>335.17843690702301</v>
      </c>
      <c r="K34" s="338">
        <f t="shared" si="7"/>
        <v>1.018</v>
      </c>
      <c r="L34" s="338">
        <f t="shared" si="6"/>
        <v>1.0149999999999999</v>
      </c>
      <c r="M34" s="338">
        <f t="shared" si="6"/>
        <v>0.99</v>
      </c>
      <c r="N34" s="338">
        <f t="shared" si="6"/>
        <v>1.0049999999999999</v>
      </c>
      <c r="O34" s="338">
        <f>PRODUCT(tbl_Exh3.110[[#This Row],[Morbidity Adjustment]:[Other Adjustments]])</f>
        <v>1.0280519864999997</v>
      </c>
      <c r="P34" s="338" cm="1">
        <f t="array" ref="P34">PRODUCT(IF(VALUE(RIGHT(tbl_Exh3.110[Incurred Date (YYYYMM)],2))=VALUE(RIGHT(tbl_Exh3.110[[#This Row],[Incurred Date (YYYYMM)]],2)),IF(VALUE(LEFT(tbl_Exh3.110[Incurred Date (YYYYMM)],4))&lt;=VALUE(LEFT(tbl_Exh3.110[[#This Row],[Incurred Date (YYYYMM)]],4)),tbl_Exh3.110[Combined Adjustment],1),1))</f>
        <v>1.0280519864999997</v>
      </c>
      <c r="Q34" s="338">
        <f>INDEX(tbl_Exh3.110[Accumulated Adjustments],MATCH(VALUE(SUBSTITUTE(tbl_Exh3.110[[#This Row],[Incurred Date (YYYYMM)]],LEFT(tbl_Exh3.110[[#This Row],[Incurred Date (YYYYMM)]],4),ExperYear)),tbl_Exh3.110[Incurred Date (YYYYMM)],0))/tbl_Exh3.110[[#This Row],[Accumulated Adjustments]]</f>
        <v>1.0280519864999997</v>
      </c>
      <c r="R34" s="339">
        <f ca="1">tbl_Exh3.110[[#This Row],[Allowable Rating Adjustment Normalization Factor]]*tbl_Exh3.110[[#This Row],[Predictive Ultimate Allowed EHB Claims PMPM]]</f>
        <v>344.58085789422984</v>
      </c>
      <c r="S34" s="341">
        <f ca="1">(SUMPRODUCT(J23:J34,B23:B34)/SUM(B23:B34))/(SUMPRODUCT(J11:J22,B11:B22)/SUM(B11:B22))-1</f>
        <v>0.11504990375040491</v>
      </c>
      <c r="T34" s="341">
        <f ca="1">(SUMPRODUCT(R23:R34,B23:B34)/SUM(B23:B34))/(SUMPRODUCT(R11:R22,B11:B22)/SUM(B11:B22))-1</f>
        <v>8.4624044691154143E-2</v>
      </c>
      <c r="U34" s="283"/>
      <c r="V34" s="283"/>
      <c r="W34" s="283"/>
      <c r="X34" s="255">
        <v>202312</v>
      </c>
      <c r="Y34" s="247">
        <f>Y33</f>
        <v>1.085</v>
      </c>
      <c r="Z34" s="247">
        <f t="shared" ca="1" si="1"/>
        <v>-3.7135122289078258E-3</v>
      </c>
      <c r="AA34" s="247">
        <f t="shared" ca="1" si="2"/>
        <v>1.0812864877710922</v>
      </c>
      <c r="AB34" s="247">
        <f>AVERAGE(Y23:Y34)</f>
        <v>1.0850000000000002</v>
      </c>
      <c r="AC34" s="247">
        <f t="shared" ref="AC34:AD35" ca="1" si="9">AVERAGE(Z23:Z34)</f>
        <v>-2.8234245873324758E-3</v>
      </c>
      <c r="AD34" s="247">
        <f t="shared" ca="1" si="9"/>
        <v>1.0821765754126675</v>
      </c>
    </row>
    <row r="35" spans="1:30" s="238" customFormat="1" ht="15.75" x14ac:dyDescent="0.25">
      <c r="A35" s="233">
        <f t="shared" si="3"/>
        <v>202401</v>
      </c>
      <c r="B35" s="342">
        <v>100000</v>
      </c>
      <c r="C35" s="352">
        <f ca="1">tbl_Exh3.110[[#This Row],[Member Months]]*300*(AA35)*tbl_Exh3.110[[#This Row],[Accumulated Adjustments]]+tbl_Exh3.110[[#This Row],[One-Time Adjustment for High Claims (Non-Predictive Claims)]]+tbl_Exh3.110[[#This Row],[One-Time Adjustment for HCRP Receipts]]</f>
        <v>37247171.268975854</v>
      </c>
      <c r="D35" s="343">
        <f t="shared" si="0"/>
        <v>0.98499999999999999</v>
      </c>
      <c r="E35" s="355">
        <f ca="1">tbl_Exh3.110[[#This Row],[Allowed Claims 
(as of 3/31/2025)]]/tbl_Exh3.110[[#This Row],[Allowed Claims Completion factor (based on IBNP estimates)]]</f>
        <v>37814387.075102389</v>
      </c>
      <c r="F35" s="362"/>
      <c r="G35" s="362"/>
      <c r="H35" s="352">
        <f ca="1">0.01*tbl_Exh3.110[[#This Row],[Ultimate Allowed Claims]]</f>
        <v>378143.87075102387</v>
      </c>
      <c r="I35" s="355">
        <f ca="1">tbl_Exh3.110[[#This Row],[Ultimate Allowed Claims]]-tbl_Exh3.110[[#This Row],[One-Time Adjustment for High Claims (Non-Predictive Claims)]]-tbl_Exh3.110[[#This Row],[One-Time Adjustment for HCRP Receipts]]-tbl_Exh3.110[[#This Row],[Non-EHB Allowed Claims]]</f>
        <v>37436243.204351366</v>
      </c>
      <c r="J35" s="329">
        <f ca="1">tbl_Exh3.110[[#This Row],[Predictive Ultimate Allowed EHB Claims]]/tbl_Exh3.110[[#This Row],[Member Months]]</f>
        <v>374.36243204351365</v>
      </c>
      <c r="K35" s="343">
        <v>1.018</v>
      </c>
      <c r="L35" s="343">
        <v>1.0149999999999999</v>
      </c>
      <c r="M35" s="343">
        <v>0.99</v>
      </c>
      <c r="N35" s="343">
        <v>1.0049999999999999</v>
      </c>
      <c r="O35" s="330">
        <f>PRODUCT(tbl_Exh3.110[[#This Row],[Morbidity Adjustment]:[Other Adjustments]])</f>
        <v>1.0280519864999997</v>
      </c>
      <c r="P35" s="330" cm="1">
        <f t="array" ref="P35">PRODUCT(IF(VALUE(RIGHT(tbl_Exh3.110[Incurred Date (YYYYMM)],2))=VALUE(RIGHT(tbl_Exh3.110[[#This Row],[Incurred Date (YYYYMM)]],2)),IF(VALUE(LEFT(tbl_Exh3.110[Incurred Date (YYYYMM)],4))&lt;=VALUE(LEFT(tbl_Exh3.110[[#This Row],[Incurred Date (YYYYMM)]],4)),tbl_Exh3.110[Combined Adjustment],1),1))</f>
        <v>1.0568908869465956</v>
      </c>
      <c r="Q35" s="330">
        <f>INDEX(tbl_Exh3.110[Accumulated Adjustments],MATCH(VALUE(SUBSTITUTE(tbl_Exh3.110[[#This Row],[Incurred Date (YYYYMM)]],LEFT(tbl_Exh3.110[[#This Row],[Incurred Date (YYYYMM)]],4),ExperYear)),tbl_Exh3.110[Incurred Date (YYYYMM)],0))/tbl_Exh3.110[[#This Row],[Accumulated Adjustments]]</f>
        <v>1</v>
      </c>
      <c r="R35" s="331">
        <f ca="1">tbl_Exh3.110[[#This Row],[Allowable Rating Adjustment Normalization Factor]]*tbl_Exh3.110[[#This Row],[Predictive Ultimate Allowed EHB Claims PMPM]]</f>
        <v>374.36243204351365</v>
      </c>
      <c r="S35" s="344">
        <f t="shared" ref="S35:S46" ca="1" si="10">(SUMPRODUCT(J24:J35,B24:B35)/SUM(B24:B35))/(SUMPRODUCT(J12:J23,B12:B23)/SUM(B12:B23))-1</f>
        <v>0.11518663517953143</v>
      </c>
      <c r="T35" s="344">
        <f t="shared" ref="T35:T46" ca="1" si="11">(SUMPRODUCT(R24:R35,B24:B35)/SUM(B24:B35))/(SUMPRODUCT(R12:R23,B12:B23)/SUM(B12:B23))-1</f>
        <v>8.4754107145538216E-2</v>
      </c>
      <c r="U35" s="283"/>
      <c r="V35" s="283"/>
      <c r="W35" s="283"/>
      <c r="X35" s="255">
        <v>202401</v>
      </c>
      <c r="Y35" s="247">
        <f>Y34^2</f>
        <v>1.177225</v>
      </c>
      <c r="Z35" s="247">
        <f t="shared" ca="1" si="1"/>
        <v>-2.4846450902458895E-3</v>
      </c>
      <c r="AA35" s="247">
        <f t="shared" ca="1" si="2"/>
        <v>1.1747403549097541</v>
      </c>
      <c r="AB35" s="247">
        <f>AVERAGE(Y24:Y35)</f>
        <v>1.0926854166666669</v>
      </c>
      <c r="AC35" s="247">
        <f t="shared" ca="1" si="9"/>
        <v>-2.7628391486523335E-3</v>
      </c>
      <c r="AD35" s="247">
        <f t="shared" ca="1" si="9"/>
        <v>1.0899225775180144</v>
      </c>
    </row>
    <row r="36" spans="1:30" s="238" customFormat="1" ht="15.75" x14ac:dyDescent="0.25">
      <c r="A36" s="239">
        <f t="shared" si="3"/>
        <v>202402</v>
      </c>
      <c r="B36" s="240">
        <v>100000</v>
      </c>
      <c r="C36" s="347">
        <f ca="1">tbl_Exh3.110[[#This Row],[Member Months]]*300*(AA36)*tbl_Exh3.110[[#This Row],[Accumulated Adjustments]]+tbl_Exh3.110[[#This Row],[One-Time Adjustment for High Claims (Non-Predictive Claims)]]+tbl_Exh3.110[[#This Row],[One-Time Adjustment for HCRP Receipts]]</f>
        <v>37172248.221659072</v>
      </c>
      <c r="D36" s="241">
        <f t="shared" si="0"/>
        <v>0.98499999999999999</v>
      </c>
      <c r="E36" s="353">
        <f ca="1">tbl_Exh3.110[[#This Row],[Allowed Claims 
(as of 3/31/2025)]]/tbl_Exh3.110[[#This Row],[Allowed Claims Completion factor (based on IBNP estimates)]]</f>
        <v>37738323.067674182</v>
      </c>
      <c r="F36" s="357"/>
      <c r="G36" s="357"/>
      <c r="H36" s="347">
        <f ca="1">0.01*tbl_Exh3.110[[#This Row],[Ultimate Allowed Claims]]</f>
        <v>377383.2306767418</v>
      </c>
      <c r="I36" s="353">
        <f ca="1">tbl_Exh3.110[[#This Row],[Ultimate Allowed Claims]]-tbl_Exh3.110[[#This Row],[One-Time Adjustment for High Claims (Non-Predictive Claims)]]-tbl_Exh3.110[[#This Row],[One-Time Adjustment for HCRP Receipts]]-tbl_Exh3.110[[#This Row],[Non-EHB Allowed Claims]]</f>
        <v>37360939.836997442</v>
      </c>
      <c r="J36" s="325">
        <f ca="1">tbl_Exh3.110[[#This Row],[Predictive Ultimate Allowed EHB Claims]]/tbl_Exh3.110[[#This Row],[Member Months]]</f>
        <v>373.60939836997443</v>
      </c>
      <c r="K36" s="242">
        <f>K35</f>
        <v>1.018</v>
      </c>
      <c r="L36" s="242">
        <f t="shared" ref="L36:N46" si="12">L35</f>
        <v>1.0149999999999999</v>
      </c>
      <c r="M36" s="242">
        <f t="shared" si="12"/>
        <v>0.99</v>
      </c>
      <c r="N36" s="242">
        <f t="shared" si="12"/>
        <v>1.0049999999999999</v>
      </c>
      <c r="O36" s="242">
        <f>PRODUCT(tbl_Exh3.110[[#This Row],[Morbidity Adjustment]:[Other Adjustments]])</f>
        <v>1.0280519864999997</v>
      </c>
      <c r="P36" s="242" cm="1">
        <f t="array" ref="P36">PRODUCT(IF(VALUE(RIGHT(tbl_Exh3.110[Incurred Date (YYYYMM)],2))=VALUE(RIGHT(tbl_Exh3.110[[#This Row],[Incurred Date (YYYYMM)]],2)),IF(VALUE(LEFT(tbl_Exh3.110[Incurred Date (YYYYMM)],4))&lt;=VALUE(LEFT(tbl_Exh3.110[[#This Row],[Incurred Date (YYYYMM)]],4)),tbl_Exh3.110[Combined Adjustment],1),1))</f>
        <v>1.0568908869465956</v>
      </c>
      <c r="Q36" s="242">
        <f>INDEX(tbl_Exh3.110[Accumulated Adjustments],MATCH(VALUE(SUBSTITUTE(tbl_Exh3.110[[#This Row],[Incurred Date (YYYYMM)]],LEFT(tbl_Exh3.110[[#This Row],[Incurred Date (YYYYMM)]],4),ExperYear)),tbl_Exh3.110[Incurred Date (YYYYMM)],0))/tbl_Exh3.110[[#This Row],[Accumulated Adjustments]]</f>
        <v>1</v>
      </c>
      <c r="R36" s="243">
        <f ca="1">tbl_Exh3.110[[#This Row],[Allowable Rating Adjustment Normalization Factor]]*tbl_Exh3.110[[#This Row],[Predictive Ultimate Allowed EHB Claims PMPM]]</f>
        <v>373.60939836997443</v>
      </c>
      <c r="S36" s="254">
        <f t="shared" ca="1" si="10"/>
        <v>0.11477703924617089</v>
      </c>
      <c r="T36" s="254">
        <f t="shared" ca="1" si="11"/>
        <v>8.4361160187016226E-2</v>
      </c>
      <c r="U36" s="283"/>
      <c r="V36" s="283"/>
      <c r="W36" s="283"/>
      <c r="X36" s="256">
        <v>202402</v>
      </c>
      <c r="Y36" s="249">
        <f>Y35</f>
        <v>1.177225</v>
      </c>
      <c r="Z36" s="249">
        <f t="shared" ca="1" si="1"/>
        <v>-4.8476467410355903E-3</v>
      </c>
      <c r="AA36" s="249">
        <f t="shared" ca="1" si="2"/>
        <v>1.1723773532589643</v>
      </c>
      <c r="AB36" s="250"/>
      <c r="AC36" s="250"/>
      <c r="AD36" s="250"/>
    </row>
    <row r="37" spans="1:30" s="238" customFormat="1" ht="15.75" x14ac:dyDescent="0.25">
      <c r="A37" s="239">
        <f t="shared" si="3"/>
        <v>202403</v>
      </c>
      <c r="B37" s="240">
        <v>100000</v>
      </c>
      <c r="C37" s="347">
        <f ca="1">tbl_Exh3.110[[#This Row],[Member Months]]*300*(AA37)*tbl_Exh3.110[[#This Row],[Accumulated Adjustments]]+tbl_Exh3.110[[#This Row],[One-Time Adjustment for High Claims (Non-Predictive Claims)]]+tbl_Exh3.110[[#This Row],[One-Time Adjustment for HCRP Receipts]]</f>
        <v>37214672.720431611</v>
      </c>
      <c r="D37" s="241">
        <f t="shared" si="0"/>
        <v>0.98499999999999999</v>
      </c>
      <c r="E37" s="353">
        <f ca="1">tbl_Exh3.110[[#This Row],[Allowed Claims 
(as of 3/31/2025)]]/tbl_Exh3.110[[#This Row],[Allowed Claims Completion factor (based on IBNP estimates)]]</f>
        <v>37781393.62480367</v>
      </c>
      <c r="F37" s="357"/>
      <c r="G37" s="357"/>
      <c r="H37" s="347">
        <f ca="1">0.01*tbl_Exh3.110[[#This Row],[Ultimate Allowed Claims]]</f>
        <v>377813.93624803668</v>
      </c>
      <c r="I37" s="353">
        <f ca="1">tbl_Exh3.110[[#This Row],[Ultimate Allowed Claims]]-tbl_Exh3.110[[#This Row],[One-Time Adjustment for High Claims (Non-Predictive Claims)]]-tbl_Exh3.110[[#This Row],[One-Time Adjustment for HCRP Receipts]]-tbl_Exh3.110[[#This Row],[Non-EHB Allowed Claims]]</f>
        <v>37403579.688555636</v>
      </c>
      <c r="J37" s="325">
        <f ca="1">tbl_Exh3.110[[#This Row],[Predictive Ultimate Allowed EHB Claims]]/tbl_Exh3.110[[#This Row],[Member Months]]</f>
        <v>374.03579688555635</v>
      </c>
      <c r="K37" s="242">
        <f t="shared" ref="K37:K46" si="13">K36</f>
        <v>1.018</v>
      </c>
      <c r="L37" s="242">
        <f t="shared" si="12"/>
        <v>1.0149999999999999</v>
      </c>
      <c r="M37" s="242">
        <f t="shared" si="12"/>
        <v>0.99</v>
      </c>
      <c r="N37" s="242">
        <f t="shared" si="12"/>
        <v>1.0049999999999999</v>
      </c>
      <c r="O37" s="242">
        <f>PRODUCT(tbl_Exh3.110[[#This Row],[Morbidity Adjustment]:[Other Adjustments]])</f>
        <v>1.0280519864999997</v>
      </c>
      <c r="P37" s="242" cm="1">
        <f t="array" ref="P37">PRODUCT(IF(VALUE(RIGHT(tbl_Exh3.110[Incurred Date (YYYYMM)],2))=VALUE(RIGHT(tbl_Exh3.110[[#This Row],[Incurred Date (YYYYMM)]],2)),IF(VALUE(LEFT(tbl_Exh3.110[Incurred Date (YYYYMM)],4))&lt;=VALUE(LEFT(tbl_Exh3.110[[#This Row],[Incurred Date (YYYYMM)]],4)),tbl_Exh3.110[Combined Adjustment],1),1))</f>
        <v>1.0568908869465956</v>
      </c>
      <c r="Q37" s="242">
        <f>INDEX(tbl_Exh3.110[Accumulated Adjustments],MATCH(VALUE(SUBSTITUTE(tbl_Exh3.110[[#This Row],[Incurred Date (YYYYMM)]],LEFT(tbl_Exh3.110[[#This Row],[Incurred Date (YYYYMM)]],4),ExperYear)),tbl_Exh3.110[Incurred Date (YYYYMM)],0))/tbl_Exh3.110[[#This Row],[Accumulated Adjustments]]</f>
        <v>1</v>
      </c>
      <c r="R37" s="243">
        <f ca="1">tbl_Exh3.110[[#This Row],[Allowable Rating Adjustment Normalization Factor]]*tbl_Exh3.110[[#This Row],[Predictive Ultimate Allowed EHB Claims PMPM]]</f>
        <v>374.03579688555635</v>
      </c>
      <c r="S37" s="254">
        <f t="shared" ca="1" si="10"/>
        <v>0.11487588882624178</v>
      </c>
      <c r="T37" s="254">
        <f t="shared" ca="1" si="11"/>
        <v>8.4455272084489774E-2</v>
      </c>
      <c r="U37" s="283"/>
      <c r="V37" s="283"/>
      <c r="W37" s="283"/>
      <c r="X37" s="256">
        <v>202403</v>
      </c>
      <c r="Y37" s="249">
        <f t="shared" ref="Y37:Y46" si="14">Y36</f>
        <v>1.177225</v>
      </c>
      <c r="Z37" s="249">
        <f t="shared" ca="1" si="1"/>
        <v>-3.5096184009764646E-3</v>
      </c>
      <c r="AA37" s="249">
        <f t="shared" ca="1" si="2"/>
        <v>1.1737153815990236</v>
      </c>
      <c r="AB37" s="250"/>
      <c r="AC37" s="250"/>
      <c r="AD37" s="250"/>
    </row>
    <row r="38" spans="1:30" s="238" customFormat="1" ht="15.75" x14ac:dyDescent="0.25">
      <c r="A38" s="239">
        <f t="shared" si="3"/>
        <v>202404</v>
      </c>
      <c r="B38" s="240">
        <v>100000</v>
      </c>
      <c r="C38" s="347">
        <f ca="1">tbl_Exh3.110[[#This Row],[Member Months]]*300*(AA38)*tbl_Exh3.110[[#This Row],[Accumulated Adjustments]]+tbl_Exh3.110[[#This Row],[One-Time Adjustment for High Claims (Non-Predictive Claims)]]+tbl_Exh3.110[[#This Row],[One-Time Adjustment for HCRP Receipts]]</f>
        <v>37253523.719757214</v>
      </c>
      <c r="D38" s="241">
        <f t="shared" si="0"/>
        <v>0.98499999999999999</v>
      </c>
      <c r="E38" s="353">
        <f ca="1">tbl_Exh3.110[[#This Row],[Allowed Claims 
(as of 3/31/2025)]]/tbl_Exh3.110[[#This Row],[Allowed Claims Completion factor (based on IBNP estimates)]]</f>
        <v>37820836.263712905</v>
      </c>
      <c r="F38" s="357"/>
      <c r="G38" s="357"/>
      <c r="H38" s="347">
        <f ca="1">0.01*tbl_Exh3.110[[#This Row],[Ultimate Allowed Claims]]</f>
        <v>378208.36263712909</v>
      </c>
      <c r="I38" s="353">
        <f ca="1">tbl_Exh3.110[[#This Row],[Ultimate Allowed Claims]]-tbl_Exh3.110[[#This Row],[One-Time Adjustment for High Claims (Non-Predictive Claims)]]-tbl_Exh3.110[[#This Row],[One-Time Adjustment for HCRP Receipts]]-tbl_Exh3.110[[#This Row],[Non-EHB Allowed Claims]]</f>
        <v>37442627.901075773</v>
      </c>
      <c r="J38" s="325">
        <f ca="1">tbl_Exh3.110[[#This Row],[Predictive Ultimate Allowed EHB Claims]]/tbl_Exh3.110[[#This Row],[Member Months]]</f>
        <v>374.42627901075775</v>
      </c>
      <c r="K38" s="242">
        <f t="shared" si="13"/>
        <v>1.018</v>
      </c>
      <c r="L38" s="242">
        <f t="shared" si="12"/>
        <v>1.0149999999999999</v>
      </c>
      <c r="M38" s="242">
        <f t="shared" si="12"/>
        <v>0.99</v>
      </c>
      <c r="N38" s="242">
        <f t="shared" si="12"/>
        <v>1.0049999999999999</v>
      </c>
      <c r="O38" s="242">
        <f>PRODUCT(tbl_Exh3.110[[#This Row],[Morbidity Adjustment]:[Other Adjustments]])</f>
        <v>1.0280519864999997</v>
      </c>
      <c r="P38" s="242" cm="1">
        <f t="array" ref="P38">PRODUCT(IF(VALUE(RIGHT(tbl_Exh3.110[Incurred Date (YYYYMM)],2))=VALUE(RIGHT(tbl_Exh3.110[[#This Row],[Incurred Date (YYYYMM)]],2)),IF(VALUE(LEFT(tbl_Exh3.110[Incurred Date (YYYYMM)],4))&lt;=VALUE(LEFT(tbl_Exh3.110[[#This Row],[Incurred Date (YYYYMM)]],4)),tbl_Exh3.110[Combined Adjustment],1),1))</f>
        <v>1.0568908869465956</v>
      </c>
      <c r="Q38" s="242">
        <f>INDEX(tbl_Exh3.110[Accumulated Adjustments],MATCH(VALUE(SUBSTITUTE(tbl_Exh3.110[[#This Row],[Incurred Date (YYYYMM)]],LEFT(tbl_Exh3.110[[#This Row],[Incurred Date (YYYYMM)]],4),ExperYear)),tbl_Exh3.110[Incurred Date (YYYYMM)],0))/tbl_Exh3.110[[#This Row],[Accumulated Adjustments]]</f>
        <v>1</v>
      </c>
      <c r="R38" s="243">
        <f ca="1">tbl_Exh3.110[[#This Row],[Allowable Rating Adjustment Normalization Factor]]*tbl_Exh3.110[[#This Row],[Predictive Ultimate Allowed EHB Claims PMPM]]</f>
        <v>374.42627901075775</v>
      </c>
      <c r="S38" s="254">
        <f t="shared" ca="1" si="10"/>
        <v>0.11494583612120701</v>
      </c>
      <c r="T38" s="254">
        <f t="shared" ca="1" si="11"/>
        <v>8.4521896583830802E-2</v>
      </c>
      <c r="U38" s="283"/>
      <c r="V38" s="283"/>
      <c r="W38" s="283"/>
      <c r="X38" s="256">
        <v>202404</v>
      </c>
      <c r="Y38" s="249">
        <f t="shared" si="14"/>
        <v>1.177225</v>
      </c>
      <c r="Z38" s="249">
        <f t="shared" ca="1" si="1"/>
        <v>-2.2842948346101289E-3</v>
      </c>
      <c r="AA38" s="249">
        <f t="shared" ca="1" si="2"/>
        <v>1.1749407051653897</v>
      </c>
      <c r="AB38" s="250"/>
      <c r="AC38" s="250"/>
      <c r="AD38" s="250"/>
    </row>
    <row r="39" spans="1:30" s="238" customFormat="1" ht="15.75" x14ac:dyDescent="0.25">
      <c r="A39" s="239">
        <f t="shared" si="3"/>
        <v>202405</v>
      </c>
      <c r="B39" s="240">
        <v>100000</v>
      </c>
      <c r="C39" s="347">
        <f ca="1">tbl_Exh3.110[[#This Row],[Member Months]]*300*(AA39)*tbl_Exh3.110[[#This Row],[Accumulated Adjustments]]+tbl_Exh3.110[[#This Row],[One-Time Adjustment for High Claims (Non-Predictive Claims)]]+tbl_Exh3.110[[#This Row],[One-Time Adjustment for HCRP Receipts]]</f>
        <v>37298716.030968145</v>
      </c>
      <c r="D39" s="241">
        <f t="shared" si="0"/>
        <v>0.98499999999999999</v>
      </c>
      <c r="E39" s="353">
        <f ca="1">tbl_Exh3.110[[#This Row],[Allowed Claims 
(as of 3/31/2025)]]/tbl_Exh3.110[[#This Row],[Allowed Claims Completion factor (based on IBNP estimates)]]</f>
        <v>37866716.782708779</v>
      </c>
      <c r="F39" s="357"/>
      <c r="G39" s="357"/>
      <c r="H39" s="347">
        <f ca="1">0.01*tbl_Exh3.110[[#This Row],[Ultimate Allowed Claims]]</f>
        <v>378667.1678270878</v>
      </c>
      <c r="I39" s="353">
        <f ca="1">tbl_Exh3.110[[#This Row],[Ultimate Allowed Claims]]-tbl_Exh3.110[[#This Row],[One-Time Adjustment for High Claims (Non-Predictive Claims)]]-tbl_Exh3.110[[#This Row],[One-Time Adjustment for HCRP Receipts]]-tbl_Exh3.110[[#This Row],[Non-EHB Allowed Claims]]</f>
        <v>37488049.614881694</v>
      </c>
      <c r="J39" s="325">
        <f ca="1">tbl_Exh3.110[[#This Row],[Predictive Ultimate Allowed EHB Claims]]/tbl_Exh3.110[[#This Row],[Member Months]]</f>
        <v>374.88049614881692</v>
      </c>
      <c r="K39" s="242">
        <f t="shared" si="13"/>
        <v>1.018</v>
      </c>
      <c r="L39" s="242">
        <f t="shared" si="12"/>
        <v>1.0149999999999999</v>
      </c>
      <c r="M39" s="242">
        <f t="shared" si="12"/>
        <v>0.99</v>
      </c>
      <c r="N39" s="242">
        <f t="shared" si="12"/>
        <v>1.0049999999999999</v>
      </c>
      <c r="O39" s="242">
        <f>PRODUCT(tbl_Exh3.110[[#This Row],[Morbidity Adjustment]:[Other Adjustments]])</f>
        <v>1.0280519864999997</v>
      </c>
      <c r="P39" s="242" cm="1">
        <f t="array" ref="P39">PRODUCT(IF(VALUE(RIGHT(tbl_Exh3.110[Incurred Date (YYYYMM)],2))=VALUE(RIGHT(tbl_Exh3.110[[#This Row],[Incurred Date (YYYYMM)]],2)),IF(VALUE(LEFT(tbl_Exh3.110[Incurred Date (YYYYMM)],4))&lt;=VALUE(LEFT(tbl_Exh3.110[[#This Row],[Incurred Date (YYYYMM)]],4)),tbl_Exh3.110[Combined Adjustment],1),1))</f>
        <v>1.0568908869465956</v>
      </c>
      <c r="Q39" s="242">
        <f>INDEX(tbl_Exh3.110[Accumulated Adjustments],MATCH(VALUE(SUBSTITUTE(tbl_Exh3.110[[#This Row],[Incurred Date (YYYYMM)]],LEFT(tbl_Exh3.110[[#This Row],[Incurred Date (YYYYMM)]],4),ExperYear)),tbl_Exh3.110[Incurred Date (YYYYMM)],0))/tbl_Exh3.110[[#This Row],[Accumulated Adjustments]]</f>
        <v>1</v>
      </c>
      <c r="R39" s="243">
        <f ca="1">tbl_Exh3.110[[#This Row],[Allowable Rating Adjustment Normalization Factor]]*tbl_Exh3.110[[#This Row],[Predictive Ultimate Allowed EHB Claims PMPM]]</f>
        <v>374.88049614881692</v>
      </c>
      <c r="S39" s="254">
        <f t="shared" ca="1" si="10"/>
        <v>0.11502219613004661</v>
      </c>
      <c r="T39" s="254">
        <f t="shared" ca="1" si="11"/>
        <v>8.4590011402569054E-2</v>
      </c>
      <c r="U39" s="283"/>
      <c r="V39" s="283"/>
      <c r="W39" s="283"/>
      <c r="X39" s="256">
        <v>202405</v>
      </c>
      <c r="Y39" s="249">
        <f t="shared" si="14"/>
        <v>1.177225</v>
      </c>
      <c r="Z39" s="249">
        <f t="shared" ca="1" si="1"/>
        <v>-8.5897232279466659E-4</v>
      </c>
      <c r="AA39" s="249">
        <f t="shared" ca="1" si="2"/>
        <v>1.1763660276772052</v>
      </c>
      <c r="AB39" s="250"/>
      <c r="AC39" s="250"/>
      <c r="AD39" s="250"/>
    </row>
    <row r="40" spans="1:30" s="238" customFormat="1" ht="15.75" x14ac:dyDescent="0.25">
      <c r="A40" s="239">
        <f t="shared" si="3"/>
        <v>202406</v>
      </c>
      <c r="B40" s="240">
        <v>100000</v>
      </c>
      <c r="C40" s="347">
        <f ca="1">tbl_Exh3.110[[#This Row],[Member Months]]*300*(AA40)*tbl_Exh3.110[[#This Row],[Accumulated Adjustments]]+tbl_Exh3.110[[#This Row],[One-Time Adjustment for High Claims (Non-Predictive Claims)]]+tbl_Exh3.110[[#This Row],[One-Time Adjustment for HCRP Receipts]]</f>
        <v>37211110.36742913</v>
      </c>
      <c r="D40" s="241">
        <f t="shared" si="0"/>
        <v>0.98499999999999999</v>
      </c>
      <c r="E40" s="353">
        <f ca="1">tbl_Exh3.110[[#This Row],[Allowed Claims 
(as of 3/31/2025)]]/tbl_Exh3.110[[#This Row],[Allowed Claims Completion factor (based on IBNP estimates)]]</f>
        <v>37777777.022770688</v>
      </c>
      <c r="F40" s="357"/>
      <c r="G40" s="357"/>
      <c r="H40" s="347">
        <f ca="1">0.01*tbl_Exh3.110[[#This Row],[Ultimate Allowed Claims]]</f>
        <v>377777.77022770687</v>
      </c>
      <c r="I40" s="353">
        <f ca="1">tbl_Exh3.110[[#This Row],[Ultimate Allowed Claims]]-tbl_Exh3.110[[#This Row],[One-Time Adjustment for High Claims (Non-Predictive Claims)]]-tbl_Exh3.110[[#This Row],[One-Time Adjustment for HCRP Receipts]]-tbl_Exh3.110[[#This Row],[Non-EHB Allowed Claims]]</f>
        <v>37399999.25254298</v>
      </c>
      <c r="J40" s="325">
        <f ca="1">tbl_Exh3.110[[#This Row],[Predictive Ultimate Allowed EHB Claims]]/tbl_Exh3.110[[#This Row],[Member Months]]</f>
        <v>373.99999252542978</v>
      </c>
      <c r="K40" s="242">
        <f t="shared" si="13"/>
        <v>1.018</v>
      </c>
      <c r="L40" s="242">
        <f t="shared" si="12"/>
        <v>1.0149999999999999</v>
      </c>
      <c r="M40" s="242">
        <f t="shared" si="12"/>
        <v>0.99</v>
      </c>
      <c r="N40" s="242">
        <f t="shared" si="12"/>
        <v>1.0049999999999999</v>
      </c>
      <c r="O40" s="242">
        <f>PRODUCT(tbl_Exh3.110[[#This Row],[Morbidity Adjustment]:[Other Adjustments]])</f>
        <v>1.0280519864999997</v>
      </c>
      <c r="P40" s="242" cm="1">
        <f t="array" ref="P40">PRODUCT(IF(VALUE(RIGHT(tbl_Exh3.110[Incurred Date (YYYYMM)],2))=VALUE(RIGHT(tbl_Exh3.110[[#This Row],[Incurred Date (YYYYMM)]],2)),IF(VALUE(LEFT(tbl_Exh3.110[Incurred Date (YYYYMM)],4))&lt;=VALUE(LEFT(tbl_Exh3.110[[#This Row],[Incurred Date (YYYYMM)]],4)),tbl_Exh3.110[Combined Adjustment],1),1))</f>
        <v>1.0568908869465956</v>
      </c>
      <c r="Q40" s="242">
        <f>INDEX(tbl_Exh3.110[Accumulated Adjustments],MATCH(VALUE(SUBSTITUTE(tbl_Exh3.110[[#This Row],[Incurred Date (YYYYMM)]],LEFT(tbl_Exh3.110[[#This Row],[Incurred Date (YYYYMM)]],4),ExperYear)),tbl_Exh3.110[Incurred Date (YYYYMM)],0))/tbl_Exh3.110[[#This Row],[Accumulated Adjustments]]</f>
        <v>1</v>
      </c>
      <c r="R40" s="243">
        <f ca="1">tbl_Exh3.110[[#This Row],[Allowable Rating Adjustment Normalization Factor]]*tbl_Exh3.110[[#This Row],[Predictive Ultimate Allowed EHB Claims PMPM]]</f>
        <v>373.99999252542978</v>
      </c>
      <c r="S40" s="254">
        <f t="shared" ca="1" si="10"/>
        <v>0.11471417942665374</v>
      </c>
      <c r="T40" s="254">
        <f t="shared" ca="1" si="11"/>
        <v>8.4293063070876917E-2</v>
      </c>
      <c r="U40" s="283"/>
      <c r="V40" s="283"/>
      <c r="W40" s="283"/>
      <c r="X40" s="256">
        <v>202406</v>
      </c>
      <c r="Y40" s="249">
        <f t="shared" si="14"/>
        <v>1.177225</v>
      </c>
      <c r="Z40" s="249">
        <f t="shared" ca="1" si="1"/>
        <v>-3.621971626412757E-3</v>
      </c>
      <c r="AA40" s="249">
        <f t="shared" ca="1" si="2"/>
        <v>1.1736030283735872</v>
      </c>
      <c r="AB40" s="250"/>
      <c r="AC40" s="250"/>
      <c r="AD40" s="250"/>
    </row>
    <row r="41" spans="1:30" s="238" customFormat="1" ht="15.75" x14ac:dyDescent="0.25">
      <c r="A41" s="239">
        <f t="shared" si="3"/>
        <v>202407</v>
      </c>
      <c r="B41" s="240">
        <v>100000</v>
      </c>
      <c r="C41" s="347">
        <f ca="1">tbl_Exh3.110[[#This Row],[Member Months]]*300*(AA41)*tbl_Exh3.110[[#This Row],[Accumulated Adjustments]]+tbl_Exh3.110[[#This Row],[One-Time Adjustment for High Claims (Non-Predictive Claims)]]+tbl_Exh3.110[[#This Row],[One-Time Adjustment for HCRP Receipts]]</f>
        <v>37293516.411047347</v>
      </c>
      <c r="D41" s="241">
        <f t="shared" si="0"/>
        <v>0.98499999999999999</v>
      </c>
      <c r="E41" s="353">
        <f ca="1">tbl_Exh3.110[[#This Row],[Allowed Claims 
(as of 3/31/2025)]]/tbl_Exh3.110[[#This Row],[Allowed Claims Completion factor (based on IBNP estimates)]]</f>
        <v>37861437.980758727</v>
      </c>
      <c r="F41" s="357"/>
      <c r="G41" s="357"/>
      <c r="H41" s="347">
        <f ca="1">0.01*tbl_Exh3.110[[#This Row],[Ultimate Allowed Claims]]</f>
        <v>378614.37980758725</v>
      </c>
      <c r="I41" s="353">
        <f ca="1">tbl_Exh3.110[[#This Row],[Ultimate Allowed Claims]]-tbl_Exh3.110[[#This Row],[One-Time Adjustment for High Claims (Non-Predictive Claims)]]-tbl_Exh3.110[[#This Row],[One-Time Adjustment for HCRP Receipts]]-tbl_Exh3.110[[#This Row],[Non-EHB Allowed Claims]]</f>
        <v>37482823.600951143</v>
      </c>
      <c r="J41" s="325">
        <f ca="1">tbl_Exh3.110[[#This Row],[Predictive Ultimate Allowed EHB Claims]]/tbl_Exh3.110[[#This Row],[Member Months]]</f>
        <v>374.82823600951144</v>
      </c>
      <c r="K41" s="242">
        <f t="shared" si="13"/>
        <v>1.018</v>
      </c>
      <c r="L41" s="242">
        <f t="shared" si="12"/>
        <v>1.0149999999999999</v>
      </c>
      <c r="M41" s="242">
        <f t="shared" si="12"/>
        <v>0.99</v>
      </c>
      <c r="N41" s="242">
        <f t="shared" si="12"/>
        <v>1.0049999999999999</v>
      </c>
      <c r="O41" s="242">
        <f>PRODUCT(tbl_Exh3.110[[#This Row],[Morbidity Adjustment]:[Other Adjustments]])</f>
        <v>1.0280519864999997</v>
      </c>
      <c r="P41" s="242" cm="1">
        <f t="array" ref="P41">PRODUCT(IF(VALUE(RIGHT(tbl_Exh3.110[Incurred Date (YYYYMM)],2))=VALUE(RIGHT(tbl_Exh3.110[[#This Row],[Incurred Date (YYYYMM)]],2)),IF(VALUE(LEFT(tbl_Exh3.110[Incurred Date (YYYYMM)],4))&lt;=VALUE(LEFT(tbl_Exh3.110[[#This Row],[Incurred Date (YYYYMM)]],4)),tbl_Exh3.110[Combined Adjustment],1),1))</f>
        <v>1.0568908869465956</v>
      </c>
      <c r="Q41" s="242">
        <f>INDEX(tbl_Exh3.110[Accumulated Adjustments],MATCH(VALUE(SUBSTITUTE(tbl_Exh3.110[[#This Row],[Incurred Date (YYYYMM)]],LEFT(tbl_Exh3.110[[#This Row],[Incurred Date (YYYYMM)]],4),ExperYear)),tbl_Exh3.110[Incurred Date (YYYYMM)],0))/tbl_Exh3.110[[#This Row],[Accumulated Adjustments]]</f>
        <v>1</v>
      </c>
      <c r="R41" s="243">
        <f ca="1">tbl_Exh3.110[[#This Row],[Allowable Rating Adjustment Normalization Factor]]*tbl_Exh3.110[[#This Row],[Predictive Ultimate Allowed EHB Claims PMPM]]</f>
        <v>374.82823600951144</v>
      </c>
      <c r="S41" s="254">
        <f t="shared" ca="1" si="10"/>
        <v>0.11516385967041787</v>
      </c>
      <c r="T41" s="254">
        <f t="shared" ca="1" si="11"/>
        <v>8.4727182816306978E-2</v>
      </c>
      <c r="U41" s="283"/>
      <c r="V41" s="283"/>
      <c r="W41" s="283"/>
      <c r="X41" s="256">
        <v>202407</v>
      </c>
      <c r="Y41" s="249">
        <f t="shared" si="14"/>
        <v>1.177225</v>
      </c>
      <c r="Z41" s="249">
        <f t="shared" ca="1" si="1"/>
        <v>-1.0229633895805384E-3</v>
      </c>
      <c r="AA41" s="249">
        <f t="shared" ca="1" si="2"/>
        <v>1.1762020366104193</v>
      </c>
      <c r="AB41" s="250"/>
      <c r="AC41" s="250"/>
      <c r="AD41" s="250"/>
    </row>
    <row r="42" spans="1:30" s="238" customFormat="1" ht="15.75" x14ac:dyDescent="0.25">
      <c r="A42" s="239">
        <f t="shared" si="3"/>
        <v>202408</v>
      </c>
      <c r="B42" s="240">
        <v>100000</v>
      </c>
      <c r="C42" s="347">
        <f ca="1">tbl_Exh3.110[[#This Row],[Member Months]]*300*(AA42)*tbl_Exh3.110[[#This Row],[Accumulated Adjustments]]+tbl_Exh3.110[[#This Row],[One-Time Adjustment for High Claims (Non-Predictive Claims)]]+tbl_Exh3.110[[#This Row],[One-Time Adjustment for HCRP Receipts]]</f>
        <v>37267789.211175673</v>
      </c>
      <c r="D42" s="241">
        <f t="shared" si="0"/>
        <v>0.98499999999999999</v>
      </c>
      <c r="E42" s="353">
        <f ca="1">tbl_Exh3.110[[#This Row],[Allowed Claims 
(as of 3/31/2025)]]/tbl_Exh3.110[[#This Row],[Allowed Claims Completion factor (based on IBNP estimates)]]</f>
        <v>37835318.996117435</v>
      </c>
      <c r="F42" s="357"/>
      <c r="G42" s="357"/>
      <c r="H42" s="347">
        <f ca="1">0.01*tbl_Exh3.110[[#This Row],[Ultimate Allowed Claims]]</f>
        <v>378353.18996117439</v>
      </c>
      <c r="I42" s="353">
        <f ca="1">tbl_Exh3.110[[#This Row],[Ultimate Allowed Claims]]-tbl_Exh3.110[[#This Row],[One-Time Adjustment for High Claims (Non-Predictive Claims)]]-tbl_Exh3.110[[#This Row],[One-Time Adjustment for HCRP Receipts]]-tbl_Exh3.110[[#This Row],[Non-EHB Allowed Claims]]</f>
        <v>37456965.806156263</v>
      </c>
      <c r="J42" s="325">
        <f ca="1">tbl_Exh3.110[[#This Row],[Predictive Ultimate Allowed EHB Claims]]/tbl_Exh3.110[[#This Row],[Member Months]]</f>
        <v>374.56965806156262</v>
      </c>
      <c r="K42" s="242">
        <f t="shared" si="13"/>
        <v>1.018</v>
      </c>
      <c r="L42" s="242">
        <f t="shared" si="12"/>
        <v>1.0149999999999999</v>
      </c>
      <c r="M42" s="242">
        <f t="shared" si="12"/>
        <v>0.99</v>
      </c>
      <c r="N42" s="242">
        <f t="shared" si="12"/>
        <v>1.0049999999999999</v>
      </c>
      <c r="O42" s="242">
        <f>PRODUCT(tbl_Exh3.110[[#This Row],[Morbidity Adjustment]:[Other Adjustments]])</f>
        <v>1.0280519864999997</v>
      </c>
      <c r="P42" s="242" cm="1">
        <f t="array" ref="P42">PRODUCT(IF(VALUE(RIGHT(tbl_Exh3.110[Incurred Date (YYYYMM)],2))=VALUE(RIGHT(tbl_Exh3.110[[#This Row],[Incurred Date (YYYYMM)]],2)),IF(VALUE(LEFT(tbl_Exh3.110[Incurred Date (YYYYMM)],4))&lt;=VALUE(LEFT(tbl_Exh3.110[[#This Row],[Incurred Date (YYYYMM)]],4)),tbl_Exh3.110[Combined Adjustment],1),1))</f>
        <v>1.0568908869465956</v>
      </c>
      <c r="Q42" s="242">
        <f>INDEX(tbl_Exh3.110[Accumulated Adjustments],MATCH(VALUE(SUBSTITUTE(tbl_Exh3.110[[#This Row],[Incurred Date (YYYYMM)]],LEFT(tbl_Exh3.110[[#This Row],[Incurred Date (YYYYMM)]],4),ExperYear)),tbl_Exh3.110[Incurred Date (YYYYMM)],0))/tbl_Exh3.110[[#This Row],[Accumulated Adjustments]]</f>
        <v>1</v>
      </c>
      <c r="R42" s="243">
        <f ca="1">tbl_Exh3.110[[#This Row],[Allowable Rating Adjustment Normalization Factor]]*tbl_Exh3.110[[#This Row],[Predictive Ultimate Allowed EHB Claims PMPM]]</f>
        <v>374.56965806156262</v>
      </c>
      <c r="S42" s="254">
        <f t="shared" ca="1" si="10"/>
        <v>0.11571909910871181</v>
      </c>
      <c r="T42" s="254">
        <f t="shared" ca="1" si="11"/>
        <v>8.5270161678680623E-2</v>
      </c>
      <c r="U42" s="283"/>
      <c r="V42" s="283"/>
      <c r="W42" s="283"/>
      <c r="X42" s="256">
        <v>202408</v>
      </c>
      <c r="Y42" s="249">
        <f t="shared" si="14"/>
        <v>1.177225</v>
      </c>
      <c r="Z42" s="249">
        <f t="shared" ca="1" si="1"/>
        <v>-1.8343748036135177E-3</v>
      </c>
      <c r="AA42" s="249">
        <f t="shared" ca="1" si="2"/>
        <v>1.1753906251963864</v>
      </c>
      <c r="AB42" s="250"/>
      <c r="AC42" s="250"/>
      <c r="AD42" s="250"/>
    </row>
    <row r="43" spans="1:30" s="238" customFormat="1" ht="15.75" x14ac:dyDescent="0.25">
      <c r="A43" s="239">
        <f t="shared" si="3"/>
        <v>202409</v>
      </c>
      <c r="B43" s="240">
        <v>100000</v>
      </c>
      <c r="C43" s="347">
        <f ca="1">tbl_Exh3.110[[#This Row],[Member Months]]*300*(AA43)*tbl_Exh3.110[[#This Row],[Accumulated Adjustments]]+tbl_Exh3.110[[#This Row],[One-Time Adjustment for High Claims (Non-Predictive Claims)]]+tbl_Exh3.110[[#This Row],[One-Time Adjustment for HCRP Receipts]]</f>
        <v>37221680.025609829</v>
      </c>
      <c r="D43" s="241">
        <f t="shared" si="0"/>
        <v>0.98499999999999999</v>
      </c>
      <c r="E43" s="353">
        <f ca="1">tbl_Exh3.110[[#This Row],[Allowed Claims 
(as of 3/31/2025)]]/tbl_Exh3.110[[#This Row],[Allowed Claims Completion factor (based on IBNP estimates)]]</f>
        <v>37788507.640213028</v>
      </c>
      <c r="F43" s="357"/>
      <c r="G43" s="357"/>
      <c r="H43" s="347">
        <f ca="1">0.01*tbl_Exh3.110[[#This Row],[Ultimate Allowed Claims]]</f>
        <v>377885.0764021303</v>
      </c>
      <c r="I43" s="353">
        <f ca="1">tbl_Exh3.110[[#This Row],[Ultimate Allowed Claims]]-tbl_Exh3.110[[#This Row],[One-Time Adjustment for High Claims (Non-Predictive Claims)]]-tbl_Exh3.110[[#This Row],[One-Time Adjustment for HCRP Receipts]]-tbl_Exh3.110[[#This Row],[Non-EHB Allowed Claims]]</f>
        <v>37410622.5638109</v>
      </c>
      <c r="J43" s="325">
        <f ca="1">tbl_Exh3.110[[#This Row],[Predictive Ultimate Allowed EHB Claims]]/tbl_Exh3.110[[#This Row],[Member Months]]</f>
        <v>374.10622563810898</v>
      </c>
      <c r="K43" s="242">
        <f t="shared" si="13"/>
        <v>1.018</v>
      </c>
      <c r="L43" s="242">
        <f t="shared" si="12"/>
        <v>1.0149999999999999</v>
      </c>
      <c r="M43" s="242">
        <f t="shared" si="12"/>
        <v>0.99</v>
      </c>
      <c r="N43" s="242">
        <f t="shared" si="12"/>
        <v>1.0049999999999999</v>
      </c>
      <c r="O43" s="242">
        <f>PRODUCT(tbl_Exh3.110[[#This Row],[Morbidity Adjustment]:[Other Adjustments]])</f>
        <v>1.0280519864999997</v>
      </c>
      <c r="P43" s="242" cm="1">
        <f t="array" ref="P43">PRODUCT(IF(VALUE(RIGHT(tbl_Exh3.110[Incurred Date (YYYYMM)],2))=VALUE(RIGHT(tbl_Exh3.110[[#This Row],[Incurred Date (YYYYMM)]],2)),IF(VALUE(LEFT(tbl_Exh3.110[Incurred Date (YYYYMM)],4))&lt;=VALUE(LEFT(tbl_Exh3.110[[#This Row],[Incurred Date (YYYYMM)]],4)),tbl_Exh3.110[Combined Adjustment],1),1))</f>
        <v>1.0568908869465956</v>
      </c>
      <c r="Q43" s="242">
        <f>INDEX(tbl_Exh3.110[Accumulated Adjustments],MATCH(VALUE(SUBSTITUTE(tbl_Exh3.110[[#This Row],[Incurred Date (YYYYMM)]],LEFT(tbl_Exh3.110[[#This Row],[Incurred Date (YYYYMM)]],4),ExperYear)),tbl_Exh3.110[Incurred Date (YYYYMM)],0))/tbl_Exh3.110[[#This Row],[Accumulated Adjustments]]</f>
        <v>1</v>
      </c>
      <c r="R43" s="243">
        <f ca="1">tbl_Exh3.110[[#This Row],[Allowable Rating Adjustment Normalization Factor]]*tbl_Exh3.110[[#This Row],[Predictive Ultimate Allowed EHB Claims PMPM]]</f>
        <v>374.10622563810898</v>
      </c>
      <c r="S43" s="254">
        <f t="shared" ca="1" si="10"/>
        <v>0.11549258643681393</v>
      </c>
      <c r="T43" s="254">
        <f t="shared" ca="1" si="11"/>
        <v>8.5049281992245929E-2</v>
      </c>
      <c r="U43" s="283"/>
      <c r="V43" s="283"/>
      <c r="W43" s="283"/>
      <c r="X43" s="256">
        <v>202409</v>
      </c>
      <c r="Y43" s="249">
        <f t="shared" si="14"/>
        <v>1.177225</v>
      </c>
      <c r="Z43" s="249">
        <f t="shared" ca="1" si="1"/>
        <v>-3.2886146605160312E-3</v>
      </c>
      <c r="AA43" s="249">
        <f t="shared" ca="1" si="2"/>
        <v>1.173936385339484</v>
      </c>
      <c r="AB43" s="250"/>
      <c r="AC43" s="250"/>
      <c r="AD43" s="250"/>
    </row>
    <row r="44" spans="1:30" s="238" customFormat="1" ht="15.75" x14ac:dyDescent="0.25">
      <c r="A44" s="239">
        <f t="shared" si="3"/>
        <v>202410</v>
      </c>
      <c r="B44" s="240">
        <v>100000</v>
      </c>
      <c r="C44" s="347">
        <f ca="1">tbl_Exh3.110[[#This Row],[Member Months]]*300*(AA44)*tbl_Exh3.110[[#This Row],[Accumulated Adjustments]]+tbl_Exh3.110[[#This Row],[One-Time Adjustment for High Claims (Non-Predictive Claims)]]+tbl_Exh3.110[[#This Row],[One-Time Adjustment for HCRP Receipts]]</f>
        <v>37223368.636293098</v>
      </c>
      <c r="D44" s="241">
        <f t="shared" si="0"/>
        <v>0.98499999999999999</v>
      </c>
      <c r="E44" s="353">
        <f ca="1">tbl_Exh3.110[[#This Row],[Allowed Claims 
(as of 3/31/2025)]]/tbl_Exh3.110[[#This Row],[Allowed Claims Completion factor (based on IBNP estimates)]]</f>
        <v>37790221.965779796</v>
      </c>
      <c r="F44" s="357"/>
      <c r="G44" s="357"/>
      <c r="H44" s="347">
        <f ca="1">0.01*tbl_Exh3.110[[#This Row],[Ultimate Allowed Claims]]</f>
        <v>377902.21965779795</v>
      </c>
      <c r="I44" s="353">
        <f ca="1">tbl_Exh3.110[[#This Row],[Ultimate Allowed Claims]]-tbl_Exh3.110[[#This Row],[One-Time Adjustment for High Claims (Non-Predictive Claims)]]-tbl_Exh3.110[[#This Row],[One-Time Adjustment for HCRP Receipts]]-tbl_Exh3.110[[#This Row],[Non-EHB Allowed Claims]]</f>
        <v>37412319.746121995</v>
      </c>
      <c r="J44" s="325">
        <f ca="1">tbl_Exh3.110[[#This Row],[Predictive Ultimate Allowed EHB Claims]]/tbl_Exh3.110[[#This Row],[Member Months]]</f>
        <v>374.12319746121995</v>
      </c>
      <c r="K44" s="242">
        <f t="shared" si="13"/>
        <v>1.018</v>
      </c>
      <c r="L44" s="242">
        <f t="shared" si="12"/>
        <v>1.0149999999999999</v>
      </c>
      <c r="M44" s="242">
        <f t="shared" si="12"/>
        <v>0.99</v>
      </c>
      <c r="N44" s="242">
        <f t="shared" si="12"/>
        <v>1.0049999999999999</v>
      </c>
      <c r="O44" s="242">
        <f>PRODUCT(tbl_Exh3.110[[#This Row],[Morbidity Adjustment]:[Other Adjustments]])</f>
        <v>1.0280519864999997</v>
      </c>
      <c r="P44" s="242" cm="1">
        <f t="array" ref="P44">PRODUCT(IF(VALUE(RIGHT(tbl_Exh3.110[Incurred Date (YYYYMM)],2))=VALUE(RIGHT(tbl_Exh3.110[[#This Row],[Incurred Date (YYYYMM)]],2)),IF(VALUE(LEFT(tbl_Exh3.110[Incurred Date (YYYYMM)],4))&lt;=VALUE(LEFT(tbl_Exh3.110[[#This Row],[Incurred Date (YYYYMM)]],4)),tbl_Exh3.110[Combined Adjustment],1),1))</f>
        <v>1.0568908869465956</v>
      </c>
      <c r="Q44" s="242">
        <f>INDEX(tbl_Exh3.110[Accumulated Adjustments],MATCH(VALUE(SUBSTITUTE(tbl_Exh3.110[[#This Row],[Incurred Date (YYYYMM)]],LEFT(tbl_Exh3.110[[#This Row],[Incurred Date (YYYYMM)]],4),ExperYear)),tbl_Exh3.110[Incurred Date (YYYYMM)],0))/tbl_Exh3.110[[#This Row],[Accumulated Adjustments]]</f>
        <v>1</v>
      </c>
      <c r="R44" s="243">
        <f ca="1">tbl_Exh3.110[[#This Row],[Allowable Rating Adjustment Normalization Factor]]*tbl_Exh3.110[[#This Row],[Predictive Ultimate Allowed EHB Claims PMPM]]</f>
        <v>374.12319746121995</v>
      </c>
      <c r="S44" s="254">
        <f t="shared" ca="1" si="10"/>
        <v>0.11588074168408835</v>
      </c>
      <c r="T44" s="254">
        <f t="shared" ca="1" si="11"/>
        <v>8.5433286477718973E-2</v>
      </c>
      <c r="U44" s="283"/>
      <c r="V44" s="283"/>
      <c r="W44" s="283"/>
      <c r="X44" s="256">
        <v>202410</v>
      </c>
      <c r="Y44" s="249">
        <f t="shared" si="14"/>
        <v>1.177225</v>
      </c>
      <c r="Z44" s="249">
        <f t="shared" ca="1" si="1"/>
        <v>-3.2353574856544792E-3</v>
      </c>
      <c r="AA44" s="249">
        <f t="shared" ca="1" si="2"/>
        <v>1.1739896425143455</v>
      </c>
      <c r="AB44" s="250"/>
      <c r="AC44" s="250"/>
      <c r="AD44" s="250"/>
    </row>
    <row r="45" spans="1:30" s="238" customFormat="1" ht="15.75" x14ac:dyDescent="0.25">
      <c r="A45" s="239">
        <f t="shared" si="3"/>
        <v>202411</v>
      </c>
      <c r="B45" s="240">
        <v>100000</v>
      </c>
      <c r="C45" s="347">
        <f ca="1">tbl_Exh3.110[[#This Row],[Member Months]]*300*(AA45)*tbl_Exh3.110[[#This Row],[Accumulated Adjustments]]+tbl_Exh3.110[[#This Row],[One-Time Adjustment for High Claims (Non-Predictive Claims)]]+tbl_Exh3.110[[#This Row],[One-Time Adjustment for HCRP Receipts]]</f>
        <v>37186188.140997604</v>
      </c>
      <c r="D45" s="241">
        <f t="shared" si="0"/>
        <v>0.98499999999999999</v>
      </c>
      <c r="E45" s="353">
        <f ca="1">tbl_Exh3.110[[#This Row],[Allowed Claims 
(as of 3/31/2025)]]/tbl_Exh3.110[[#This Row],[Allowed Claims Completion factor (based on IBNP estimates)]]</f>
        <v>37752475.270048328</v>
      </c>
      <c r="F45" s="357"/>
      <c r="G45" s="357"/>
      <c r="H45" s="347">
        <f ca="1">0.01*tbl_Exh3.110[[#This Row],[Ultimate Allowed Claims]]</f>
        <v>377524.75270048331</v>
      </c>
      <c r="I45" s="353">
        <f ca="1">tbl_Exh3.110[[#This Row],[Ultimate Allowed Claims]]-tbl_Exh3.110[[#This Row],[One-Time Adjustment for High Claims (Non-Predictive Claims)]]-tbl_Exh3.110[[#This Row],[One-Time Adjustment for HCRP Receipts]]-tbl_Exh3.110[[#This Row],[Non-EHB Allowed Claims]]</f>
        <v>37374950.517347842</v>
      </c>
      <c r="J45" s="325">
        <f ca="1">tbl_Exh3.110[[#This Row],[Predictive Ultimate Allowed EHB Claims]]/tbl_Exh3.110[[#This Row],[Member Months]]</f>
        <v>373.74950517347844</v>
      </c>
      <c r="K45" s="242">
        <f t="shared" si="13"/>
        <v>1.018</v>
      </c>
      <c r="L45" s="242">
        <f t="shared" si="12"/>
        <v>1.0149999999999999</v>
      </c>
      <c r="M45" s="242">
        <f t="shared" si="12"/>
        <v>0.99</v>
      </c>
      <c r="N45" s="242">
        <f t="shared" si="12"/>
        <v>1.0049999999999999</v>
      </c>
      <c r="O45" s="242">
        <f>PRODUCT(tbl_Exh3.110[[#This Row],[Morbidity Adjustment]:[Other Adjustments]])</f>
        <v>1.0280519864999997</v>
      </c>
      <c r="P45" s="242" cm="1">
        <f t="array" ref="P45">PRODUCT(IF(VALUE(RIGHT(tbl_Exh3.110[Incurred Date (YYYYMM)],2))=VALUE(RIGHT(tbl_Exh3.110[[#This Row],[Incurred Date (YYYYMM)]],2)),IF(VALUE(LEFT(tbl_Exh3.110[Incurred Date (YYYYMM)],4))&lt;=VALUE(LEFT(tbl_Exh3.110[[#This Row],[Incurred Date (YYYYMM)]],4)),tbl_Exh3.110[Combined Adjustment],1),1))</f>
        <v>1.0568908869465956</v>
      </c>
      <c r="Q45" s="242">
        <f>INDEX(tbl_Exh3.110[Accumulated Adjustments],MATCH(VALUE(SUBSTITUTE(tbl_Exh3.110[[#This Row],[Incurred Date (YYYYMM)]],LEFT(tbl_Exh3.110[[#This Row],[Incurred Date (YYYYMM)]],4),ExperYear)),tbl_Exh3.110[Incurred Date (YYYYMM)],0))/tbl_Exh3.110[[#This Row],[Accumulated Adjustments]]</f>
        <v>1</v>
      </c>
      <c r="R45" s="243">
        <f ca="1">tbl_Exh3.110[[#This Row],[Allowable Rating Adjustment Normalization Factor]]*tbl_Exh3.110[[#This Row],[Predictive Ultimate Allowed EHB Claims PMPM]]</f>
        <v>373.74950517347844</v>
      </c>
      <c r="S45" s="254">
        <f t="shared" ca="1" si="10"/>
        <v>0.11551550013491796</v>
      </c>
      <c r="T45" s="254">
        <f t="shared" ca="1" si="11"/>
        <v>8.5076642694525972E-2</v>
      </c>
      <c r="U45" s="283"/>
      <c r="V45" s="283"/>
      <c r="W45" s="283"/>
      <c r="X45" s="256">
        <v>202411</v>
      </c>
      <c r="Y45" s="249">
        <f t="shared" si="14"/>
        <v>1.177225</v>
      </c>
      <c r="Z45" s="249">
        <f t="shared" ca="1" si="1"/>
        <v>-4.4079949437780099E-3</v>
      </c>
      <c r="AA45" s="249">
        <f t="shared" ca="1" si="2"/>
        <v>1.1728170050562219</v>
      </c>
      <c r="AB45" s="250"/>
      <c r="AC45" s="250"/>
      <c r="AD45" s="250"/>
    </row>
    <row r="46" spans="1:30" s="238" customFormat="1" ht="15.75" x14ac:dyDescent="0.25">
      <c r="A46" s="257">
        <f>(ExperYear&amp;"12")*1</f>
        <v>202412</v>
      </c>
      <c r="B46" s="240">
        <v>100000</v>
      </c>
      <c r="C46" s="347">
        <f ca="1">tbl_Exh3.110[[#This Row],[Member Months]]*300*(AA46)*tbl_Exh3.110[[#This Row],[Accumulated Adjustments]]+tbl_Exh3.110[[#This Row],[One-Time Adjustment for High Claims (Non-Predictive Claims)]]+tbl_Exh3.110[[#This Row],[One-Time Adjustment for HCRP Receipts]]</f>
        <v>37322543.644931026</v>
      </c>
      <c r="D46" s="258">
        <f t="shared" si="0"/>
        <v>0.98499999999999999</v>
      </c>
      <c r="E46" s="353">
        <f ca="1">tbl_Exh3.110[[#This Row],[Allowed Claims 
(as of 3/31/2025)]]/tbl_Exh3.110[[#This Row],[Allowed Claims Completion factor (based on IBNP estimates)]]</f>
        <v>37890907.253737085</v>
      </c>
      <c r="F46" s="363"/>
      <c r="G46" s="363"/>
      <c r="H46" s="356">
        <f ca="1">0.01*tbl_Exh3.110[[#This Row],[Ultimate Allowed Claims]]</f>
        <v>378909.07253737084</v>
      </c>
      <c r="I46" s="353">
        <f ca="1">tbl_Exh3.110[[#This Row],[Ultimate Allowed Claims]]-tbl_Exh3.110[[#This Row],[One-Time Adjustment for High Claims (Non-Predictive Claims)]]-tbl_Exh3.110[[#This Row],[One-Time Adjustment for HCRP Receipts]]-tbl_Exh3.110[[#This Row],[Non-EHB Allowed Claims]]</f>
        <v>37511998.181199715</v>
      </c>
      <c r="J46" s="326">
        <f ca="1">tbl_Exh3.110[[#This Row],[Predictive Ultimate Allowed EHB Claims]]/tbl_Exh3.110[[#This Row],[Member Months]]</f>
        <v>375.11998181199715</v>
      </c>
      <c r="K46" s="242">
        <f t="shared" si="13"/>
        <v>1.018</v>
      </c>
      <c r="L46" s="242">
        <f t="shared" si="12"/>
        <v>1.0149999999999999</v>
      </c>
      <c r="M46" s="242">
        <f t="shared" si="12"/>
        <v>0.99</v>
      </c>
      <c r="N46" s="242">
        <f t="shared" si="12"/>
        <v>1.0049999999999999</v>
      </c>
      <c r="O46" s="259">
        <f>PRODUCT(tbl_Exh3.110[[#This Row],[Morbidity Adjustment]:[Other Adjustments]])</f>
        <v>1.0280519864999997</v>
      </c>
      <c r="P46" s="259" cm="1">
        <f t="array" ref="P46">PRODUCT(IF(VALUE(RIGHT(tbl_Exh3.110[Incurred Date (YYYYMM)],2))=VALUE(RIGHT(tbl_Exh3.110[[#This Row],[Incurred Date (YYYYMM)]],2)),IF(VALUE(LEFT(tbl_Exh3.110[Incurred Date (YYYYMM)],4))&lt;=VALUE(LEFT(tbl_Exh3.110[[#This Row],[Incurred Date (YYYYMM)]],4)),tbl_Exh3.110[Combined Adjustment],1),1))</f>
        <v>1.0568908869465956</v>
      </c>
      <c r="Q46" s="259">
        <f>INDEX(tbl_Exh3.110[Accumulated Adjustments],MATCH(VALUE(SUBSTITUTE(tbl_Exh3.110[[#This Row],[Incurred Date (YYYYMM)]],LEFT(tbl_Exh3.110[[#This Row],[Incurred Date (YYYYMM)]],4),ExperYear)),tbl_Exh3.110[Incurred Date (YYYYMM)],0))/tbl_Exh3.110[[#This Row],[Accumulated Adjustments]]</f>
        <v>1</v>
      </c>
      <c r="R46" s="260">
        <f ca="1">tbl_Exh3.110[[#This Row],[Allowable Rating Adjustment Normalization Factor]]*tbl_Exh3.110[[#This Row],[Predictive Ultimate Allowed EHB Claims PMPM]]</f>
        <v>375.11998181199715</v>
      </c>
      <c r="S46" s="254">
        <f t="shared" ca="1" si="10"/>
        <v>0.11583006983482314</v>
      </c>
      <c r="T46" s="254">
        <f t="shared" ca="1" si="11"/>
        <v>8.5382922738823197E-2</v>
      </c>
      <c r="U46" s="283"/>
      <c r="V46" s="283"/>
      <c r="W46" s="283"/>
      <c r="X46" s="255">
        <v>202412</v>
      </c>
      <c r="Y46" s="247">
        <f t="shared" si="14"/>
        <v>1.177225</v>
      </c>
      <c r="Z46" s="247">
        <f t="shared" ca="1" si="1"/>
        <v>-1.0747204157158019E-4</v>
      </c>
      <c r="AA46" s="247">
        <f t="shared" ca="1" si="2"/>
        <v>1.1771175279584283</v>
      </c>
      <c r="AB46" s="247">
        <f>AVERAGE(Y35:Y46)</f>
        <v>1.177225</v>
      </c>
      <c r="AC46" s="247">
        <f t="shared" ref="AC46:AD46" ca="1" si="15">AVERAGE(Z35:Z46)</f>
        <v>-2.6253271950658044E-3</v>
      </c>
      <c r="AD46" s="247">
        <f t="shared" ca="1" si="15"/>
        <v>1.1745996728049342</v>
      </c>
    </row>
    <row r="47" spans="1:30" s="82" customFormat="1" ht="15.75" x14ac:dyDescent="0.25">
      <c r="X47" s="275"/>
      <c r="Y47" s="275"/>
      <c r="Z47" s="275"/>
      <c r="AA47" s="275"/>
      <c r="AB47" s="231"/>
      <c r="AC47" s="231"/>
      <c r="AD47" s="231"/>
    </row>
    <row r="48" spans="1:30" s="82" customFormat="1" ht="21" x14ac:dyDescent="0.35">
      <c r="A48" s="271" t="s">
        <v>127</v>
      </c>
      <c r="X48" s="275"/>
      <c r="Y48" s="275"/>
      <c r="Z48" s="275"/>
      <c r="AA48" s="275"/>
      <c r="AB48" s="275"/>
      <c r="AC48" s="275"/>
      <c r="AD48" s="275"/>
    </row>
    <row r="49" spans="1:30" s="82" customFormat="1" ht="123" customHeight="1" x14ac:dyDescent="0.25">
      <c r="A49" s="321" t="s">
        <v>128</v>
      </c>
      <c r="B49" s="322" t="s">
        <v>129</v>
      </c>
      <c r="C49" s="318" t="s">
        <v>130</v>
      </c>
      <c r="D49" s="322" t="s">
        <v>131</v>
      </c>
      <c r="E49" s="322" t="s">
        <v>132</v>
      </c>
      <c r="F49" s="318" t="s">
        <v>133</v>
      </c>
      <c r="G49" s="318" t="s">
        <v>134</v>
      </c>
      <c r="H49" s="318" t="s">
        <v>135</v>
      </c>
      <c r="I49" s="322" t="s">
        <v>251</v>
      </c>
      <c r="J49" s="322" t="s">
        <v>252</v>
      </c>
      <c r="O49" s="274"/>
      <c r="X49" s="275"/>
      <c r="Y49" s="275"/>
      <c r="Z49" s="275"/>
      <c r="AA49" s="275"/>
      <c r="AB49" s="275"/>
      <c r="AC49" s="275"/>
      <c r="AD49" s="275"/>
    </row>
    <row r="50" spans="1:30" s="82" customFormat="1" ht="15.75" x14ac:dyDescent="0.25">
      <c r="A50" s="425">
        <v>2022</v>
      </c>
      <c r="B50" s="268" cm="1">
        <f t="array" ref="B50">SUMPRODUCT((ROUNDDOWN(tbl_Exh3.110[Incurred Date (YYYYMM)]/100,0)=$A50)*tbl_Exh3.110[Member Months])</f>
        <v>1200000</v>
      </c>
      <c r="C50" s="353" cm="1">
        <f t="array" aca="1" ref="C50" ca="1">SUMPRODUCT((ROUNDDOWN(tbl_Exh3.110[Incurred Date (YYYYMM)]/100,0)=A50)*tbl_Exh3.110[Allowed Claims 
(as of 3/31/2025)])</f>
        <v>359244649.49284357</v>
      </c>
      <c r="D50" s="323"/>
      <c r="E50" s="353" cm="1">
        <f t="array" aca="1" ref="E50" ca="1">SUMPRODUCT((ROUNDDOWN(tbl_Exh3.110[Incurred Date (YYYYMM)]/100,0)=A50)*tbl_Exh3.110[Ultimate Allowed Claims])</f>
        <v>364715380.19578028</v>
      </c>
      <c r="F50" s="353" cm="1">
        <f t="array" ref="F50">SUMPRODUCT((ROUNDDOWN(tbl_Exh3.110[Incurred Date (YYYYMM)]/100,0)=A50)*tbl_Exh3.110[One-Time Adjustment for High Claims (Non-Predictive Claims)])</f>
        <v>50000</v>
      </c>
      <c r="G50" s="353" cm="1">
        <f t="array" ref="G50">SUMPRODUCT((ROUNDDOWN(tbl_Exh3.110[Incurred Date (YYYYMM)]/100,0)=A50)*tbl_Exh3.110[One-Time Adjustment for HCRP Receipts])</f>
        <v>0</v>
      </c>
      <c r="H50" s="353" cm="1">
        <f t="array" aca="1" ref="H50" ca="1">SUMPRODUCT((ROUNDDOWN(tbl_Exh3.110[Incurred Date (YYYYMM)]/100,0)=A50)*tbl_Exh3.110[Non-EHB Allowed Claims])</f>
        <v>3647153.8019578033</v>
      </c>
      <c r="I50" s="353" cm="1">
        <f t="array" aca="1" ref="I50" ca="1">SUMPRODUCT((ROUNDDOWN(tbl_Exh3.110[Incurred Date (YYYYMM)]/100,0)=A50)*tbl_Exh3.110[Predictive Ultimate Allowed EHB Claims])</f>
        <v>361018226.39382249</v>
      </c>
      <c r="J50" s="421">
        <f ca="1">tbl_Exh3.211[[#This Row],[Total Predictive Ultimate Allowed EHB Claims]]/tbl_Exh3.211[[#This Row],[Total Member Months]]</f>
        <v>300.84852199485209</v>
      </c>
      <c r="X50" s="255">
        <v>2022</v>
      </c>
      <c r="Y50" s="276">
        <f>AVERAGE(Y11:Y22)-1</f>
        <v>0</v>
      </c>
      <c r="Z50" s="276">
        <f ca="1">AVERAGE(Z11:Z22)</f>
        <v>-2.2370847421011512E-3</v>
      </c>
      <c r="AA50" s="276">
        <f ca="1">AVERAGE(AA11:AA22)-1</f>
        <v>-2.2370847421010476E-3</v>
      </c>
      <c r="AB50" s="275"/>
      <c r="AC50" s="275"/>
      <c r="AD50" s="275"/>
    </row>
    <row r="51" spans="1:30" s="82" customFormat="1" ht="15.75" x14ac:dyDescent="0.25">
      <c r="A51" s="425">
        <v>2023</v>
      </c>
      <c r="B51" s="268" cm="1">
        <f t="array" ref="B51">SUMPRODUCT((ROUNDDOWN(tbl_Exh3.110[Incurred Date (YYYYMM)]/100,0)=$A51)*tbl_Exh3.110[Member Months])</f>
        <v>1200000</v>
      </c>
      <c r="C51" s="353" cm="1">
        <f t="array" aca="1" ref="C51" ca="1">SUMPRODUCT((ROUNDDOWN(tbl_Exh3.110[Incurred Date (YYYYMM)]/100,0)=A51)*tbl_Exh3.110[Allowed Claims 
(as of 3/31/2025)])</f>
        <v>402112160.11483341</v>
      </c>
      <c r="D51" s="323"/>
      <c r="E51" s="353" cm="1">
        <f t="array" aca="1" ref="E51" ca="1">SUMPRODUCT((ROUNDDOWN(tbl_Exh3.110[Incurred Date (YYYYMM)]/100,0)=A51)*tbl_Exh3.110[Ultimate Allowed Claims])</f>
        <v>408235695.5480544</v>
      </c>
      <c r="F51" s="353" cm="1">
        <f t="array" ref="F51">SUMPRODUCT((ROUNDDOWN(tbl_Exh3.110[Incurred Date (YYYYMM)]/100,0)=A51)*tbl_Exh3.110[One-Time Adjustment for High Claims (Non-Predictive Claims)])</f>
        <v>100000</v>
      </c>
      <c r="G51" s="353" cm="1">
        <f t="array" ref="G51">SUMPRODUCT((ROUNDDOWN(tbl_Exh3.110[Incurred Date (YYYYMM)]/100,0)=A51)*tbl_Exh3.110[One-Time Adjustment for HCRP Receipts])</f>
        <v>1500000</v>
      </c>
      <c r="H51" s="353" cm="1">
        <f t="array" aca="1" ref="H51" ca="1">SUMPRODUCT((ROUNDDOWN(tbl_Exh3.110[Incurred Date (YYYYMM)]/100,0)=A51)*tbl_Exh3.110[Non-EHB Allowed Claims])</f>
        <v>4082356.955480543</v>
      </c>
      <c r="I51" s="353" cm="1">
        <f t="array" aca="1" ref="I51" ca="1">SUMPRODUCT((ROUNDDOWN(tbl_Exh3.110[Incurred Date (YYYYMM)]/100,0)=A51)*tbl_Exh3.110[Predictive Ultimate Allowed EHB Claims])</f>
        <v>402553338.5925737</v>
      </c>
      <c r="J51" s="422">
        <f ca="1">tbl_Exh3.211[[#This Row],[Total Predictive Ultimate Allowed EHB Claims]]/tbl_Exh3.211[[#This Row],[Total Member Months]]</f>
        <v>335.46111549381141</v>
      </c>
      <c r="X51" s="255">
        <v>2023</v>
      </c>
      <c r="Y51" s="276">
        <f>AVERAGE(Y23:Y34)-1</f>
        <v>8.5000000000000187E-2</v>
      </c>
      <c r="Z51" s="276">
        <f ca="1">AVERAGE(Z23:Z34)</f>
        <v>-2.8234245873324758E-3</v>
      </c>
      <c r="AA51" s="276">
        <f ca="1">AVERAGE(AA23:AA34)-1</f>
        <v>8.2176575412667541E-2</v>
      </c>
      <c r="AB51" s="275"/>
      <c r="AC51" s="275"/>
      <c r="AD51" s="275"/>
    </row>
    <row r="52" spans="1:30" s="82" customFormat="1" ht="15.75" x14ac:dyDescent="0.25">
      <c r="A52" s="426">
        <v>2024</v>
      </c>
      <c r="B52" s="269" cm="1">
        <f t="array" ref="B52">SUMPRODUCT((ROUNDDOWN(tbl_Exh3.110[Incurred Date (YYYYMM)]/100,0)=$A52)*tbl_Exh3.110[Member Months])</f>
        <v>1200000</v>
      </c>
      <c r="C52" s="424" cm="1">
        <f t="array" aca="1" ref="C52" ca="1">SUMPRODUCT((ROUNDDOWN(tbl_Exh3.110[Incurred Date (YYYYMM)]/100,0)=A52)*tbl_Exh3.110[Allowed Claims 
(as of 3/31/2025)])</f>
        <v>446912528.3992756</v>
      </c>
      <c r="D52" s="324"/>
      <c r="E52" s="424" cm="1">
        <f t="array" aca="1" ref="E52" ca="1">SUMPRODUCT((ROUNDDOWN(tbl_Exh3.110[Incurred Date (YYYYMM)]/100,0)=A52)*tbl_Exh3.110[Ultimate Allowed Claims])</f>
        <v>453718302.94342697</v>
      </c>
      <c r="F52" s="424" cm="1">
        <f t="array" ref="F52">SUMPRODUCT((ROUNDDOWN(tbl_Exh3.110[Incurred Date (YYYYMM)]/100,0)=A52)*tbl_Exh3.110[One-Time Adjustment for High Claims (Non-Predictive Claims)])</f>
        <v>0</v>
      </c>
      <c r="G52" s="424" cm="1">
        <f t="array" ref="G52">SUMPRODUCT((ROUNDDOWN(tbl_Exh3.110[Incurred Date (YYYYMM)]/100,0)=A52)*tbl_Exh3.110[One-Time Adjustment for HCRP Receipts])</f>
        <v>0</v>
      </c>
      <c r="H52" s="424" cm="1">
        <f t="array" aca="1" ref="H52" ca="1">SUMPRODUCT((ROUNDDOWN(tbl_Exh3.110[Incurred Date (YYYYMM)]/100,0)=A52)*tbl_Exh3.110[Non-EHB Allowed Claims])</f>
        <v>4537183.0294342702</v>
      </c>
      <c r="I52" s="424" cm="1">
        <f t="array" aca="1" ref="I52" ca="1">SUMPRODUCT((ROUNDDOWN(tbl_Exh3.110[Incurred Date (YYYYMM)]/100,0)=A52)*tbl_Exh3.110[Predictive Ultimate Allowed EHB Claims])</f>
        <v>449181119.9139927</v>
      </c>
      <c r="J52" s="423">
        <f ca="1">tbl_Exh3.211[[#This Row],[Total Predictive Ultimate Allowed EHB Claims]]/tbl_Exh3.211[[#This Row],[Total Member Months]]</f>
        <v>374.31759992832724</v>
      </c>
      <c r="X52" s="255">
        <v>2021</v>
      </c>
      <c r="Y52" s="276" cm="1">
        <f t="array" ref="Y52">AVERAGE(Y35:Y46^0.5)-1</f>
        <v>8.5000000000000187E-2</v>
      </c>
      <c r="Z52" s="276">
        <f ca="1">AVERAGE(Z35:Z46)</f>
        <v>-2.6253271950658044E-3</v>
      </c>
      <c r="AA52" s="276" cm="1">
        <f t="array" aca="1" ref="AA52" ca="1">AVERAGE(AA35:AA46^0.5)-1</f>
        <v>8.3789304328979908E-2</v>
      </c>
      <c r="AB52" s="275"/>
      <c r="AC52" s="275"/>
      <c r="AD52" s="275"/>
    </row>
    <row r="53" spans="1:30" s="82" customFormat="1" ht="15.75" x14ac:dyDescent="0.25">
      <c r="B53" s="267"/>
      <c r="C53" s="267"/>
      <c r="J53"/>
      <c r="X53" s="231"/>
      <c r="Y53" s="231"/>
      <c r="Z53" s="231"/>
      <c r="AA53" s="231"/>
      <c r="AB53" s="275"/>
      <c r="AC53" s="275"/>
      <c r="AD53" s="275"/>
    </row>
    <row r="54" spans="1:30" s="82" customFormat="1" ht="21.75" thickBot="1" x14ac:dyDescent="0.4">
      <c r="A54" s="131" t="s">
        <v>49</v>
      </c>
      <c r="B54" s="131"/>
      <c r="C54" s="131"/>
      <c r="D54" s="132"/>
      <c r="E54" s="132"/>
      <c r="F54" s="132"/>
      <c r="G54" s="132"/>
      <c r="H54" s="132"/>
      <c r="I54" s="132"/>
      <c r="J54" s="132"/>
      <c r="K54" s="132"/>
      <c r="L54" s="132"/>
      <c r="M54" s="132"/>
      <c r="N54" s="132"/>
      <c r="O54" s="132"/>
      <c r="P54" s="132"/>
      <c r="X54" s="253"/>
      <c r="Y54" s="253"/>
      <c r="Z54" s="253"/>
      <c r="AA54" s="231"/>
      <c r="AB54" s="231"/>
      <c r="AC54" s="231"/>
      <c r="AD54" s="231"/>
    </row>
    <row r="55" spans="1:30" s="82" customFormat="1" ht="16.5" thickTop="1" x14ac:dyDescent="0.25">
      <c r="X55" s="231"/>
      <c r="Y55" s="231"/>
      <c r="Z55" s="231"/>
      <c r="AA55" s="275"/>
      <c r="AB55" s="231"/>
      <c r="AC55" s="231"/>
      <c r="AD55" s="231"/>
    </row>
    <row r="56" spans="1:30" s="82" customFormat="1" ht="15.75" x14ac:dyDescent="0.25">
      <c r="A56" s="600"/>
      <c r="B56" s="600"/>
      <c r="C56" s="600"/>
      <c r="D56" s="600"/>
      <c r="E56" s="600"/>
      <c r="F56" s="600"/>
      <c r="G56" s="600"/>
      <c r="H56" s="600"/>
      <c r="I56" s="600"/>
      <c r="J56" s="600"/>
      <c r="K56" s="600"/>
      <c r="L56" s="600"/>
      <c r="M56" s="600"/>
      <c r="N56" s="600"/>
      <c r="O56" s="600"/>
      <c r="P56" s="600"/>
      <c r="AA56"/>
    </row>
    <row r="57" spans="1:30" s="82" customFormat="1" ht="15.75" x14ac:dyDescent="0.25">
      <c r="A57" s="600"/>
      <c r="B57" s="600"/>
      <c r="C57" s="600"/>
      <c r="D57" s="600"/>
      <c r="E57" s="600"/>
      <c r="F57" s="600"/>
      <c r="G57" s="600"/>
      <c r="H57" s="600"/>
      <c r="I57" s="600"/>
      <c r="J57" s="600"/>
      <c r="K57" s="600"/>
      <c r="L57" s="600"/>
      <c r="M57" s="600"/>
      <c r="N57" s="600"/>
      <c r="O57" s="600"/>
      <c r="P57" s="600"/>
      <c r="AA57"/>
    </row>
    <row r="58" spans="1:30" s="82" customFormat="1" ht="15.75" x14ac:dyDescent="0.25">
      <c r="A58" s="600"/>
      <c r="B58" s="600"/>
      <c r="C58" s="600"/>
      <c r="D58" s="600"/>
      <c r="E58" s="600"/>
      <c r="F58" s="600"/>
      <c r="G58" s="600"/>
      <c r="H58" s="600"/>
      <c r="I58" s="600"/>
      <c r="J58" s="600"/>
      <c r="K58" s="600"/>
      <c r="L58" s="600"/>
      <c r="M58" s="600"/>
      <c r="N58" s="600"/>
      <c r="O58" s="600"/>
      <c r="P58" s="600"/>
      <c r="AA58"/>
    </row>
    <row r="59" spans="1:30" s="82" customFormat="1" ht="15.75" x14ac:dyDescent="0.25">
      <c r="A59" s="600"/>
      <c r="B59" s="600"/>
      <c r="C59" s="600"/>
      <c r="D59" s="600"/>
      <c r="E59" s="600"/>
      <c r="F59" s="600"/>
      <c r="G59" s="600"/>
      <c r="H59" s="600"/>
      <c r="I59" s="600"/>
      <c r="J59" s="600"/>
      <c r="K59" s="600"/>
      <c r="L59" s="600"/>
      <c r="M59" s="600"/>
      <c r="N59" s="600"/>
      <c r="O59" s="600"/>
      <c r="P59" s="600"/>
      <c r="AA59"/>
    </row>
    <row r="60" spans="1:30" s="82" customFormat="1" ht="15.75" x14ac:dyDescent="0.25">
      <c r="A60" s="600"/>
      <c r="B60" s="600"/>
      <c r="C60" s="600"/>
      <c r="D60" s="600"/>
      <c r="E60" s="600"/>
      <c r="F60" s="600"/>
      <c r="G60" s="600"/>
      <c r="H60" s="600"/>
      <c r="I60" s="600"/>
      <c r="J60" s="600"/>
      <c r="K60" s="600"/>
      <c r="L60" s="600"/>
      <c r="M60" s="600"/>
      <c r="N60" s="600"/>
      <c r="O60" s="600"/>
      <c r="P60" s="600"/>
      <c r="AA60"/>
    </row>
    <row r="61" spans="1:30" s="82" customFormat="1" ht="15.75" x14ac:dyDescent="0.25">
      <c r="A61" s="600"/>
      <c r="B61" s="600"/>
      <c r="C61" s="600"/>
      <c r="D61" s="600"/>
      <c r="E61" s="600"/>
      <c r="F61" s="600"/>
      <c r="G61" s="600"/>
      <c r="H61" s="600"/>
      <c r="I61" s="600"/>
      <c r="J61" s="600"/>
      <c r="K61" s="600"/>
      <c r="L61" s="600"/>
      <c r="M61" s="600"/>
      <c r="N61" s="600"/>
      <c r="O61" s="600"/>
      <c r="P61" s="600"/>
      <c r="AA61"/>
    </row>
    <row r="62" spans="1:30" s="82" customFormat="1" ht="15.75" x14ac:dyDescent="0.25">
      <c r="A62" s="600"/>
      <c r="B62" s="600"/>
      <c r="C62" s="600"/>
      <c r="D62" s="600"/>
      <c r="E62" s="600"/>
      <c r="F62" s="600"/>
      <c r="G62" s="600"/>
      <c r="H62" s="600"/>
      <c r="I62" s="600"/>
      <c r="J62" s="600"/>
      <c r="K62" s="600"/>
      <c r="L62" s="600"/>
      <c r="M62" s="600"/>
      <c r="N62" s="600"/>
      <c r="O62" s="600"/>
      <c r="P62" s="600"/>
      <c r="AA62"/>
    </row>
    <row r="63" spans="1:30" s="82" customFormat="1" ht="15.75" x14ac:dyDescent="0.25">
      <c r="A63" s="600"/>
      <c r="B63" s="600"/>
      <c r="C63" s="600"/>
      <c r="D63" s="600"/>
      <c r="E63" s="600"/>
      <c r="F63" s="600"/>
      <c r="G63" s="600"/>
      <c r="H63" s="600"/>
      <c r="I63" s="600"/>
      <c r="J63" s="600"/>
      <c r="K63" s="600"/>
      <c r="L63" s="600"/>
      <c r="M63" s="600"/>
      <c r="N63" s="600"/>
      <c r="O63" s="600"/>
      <c r="P63" s="600"/>
      <c r="AA63"/>
    </row>
    <row r="64" spans="1:30" s="82" customFormat="1" ht="15.75" x14ac:dyDescent="0.25">
      <c r="A64" s="600"/>
      <c r="B64" s="600"/>
      <c r="C64" s="600"/>
      <c r="D64" s="600"/>
      <c r="E64" s="600"/>
      <c r="F64" s="600"/>
      <c r="G64" s="600"/>
      <c r="H64" s="600"/>
      <c r="I64" s="600"/>
      <c r="J64" s="600"/>
      <c r="K64" s="600"/>
      <c r="L64" s="600"/>
      <c r="M64" s="600"/>
      <c r="N64" s="600"/>
      <c r="O64" s="600"/>
      <c r="P64" s="600"/>
      <c r="AA64"/>
    </row>
    <row r="65" spans="1:27" s="82" customFormat="1" ht="15.75" x14ac:dyDescent="0.25">
      <c r="A65" s="600"/>
      <c r="B65" s="600"/>
      <c r="C65" s="600"/>
      <c r="D65" s="600"/>
      <c r="E65" s="600"/>
      <c r="F65" s="600"/>
      <c r="G65" s="600"/>
      <c r="H65" s="600"/>
      <c r="I65" s="600"/>
      <c r="J65" s="600"/>
      <c r="K65" s="600"/>
      <c r="L65" s="600"/>
      <c r="M65" s="600"/>
      <c r="N65" s="600"/>
      <c r="O65" s="600"/>
      <c r="P65" s="600"/>
      <c r="AA65"/>
    </row>
    <row r="66" spans="1:27" s="82" customFormat="1" ht="15.75" x14ac:dyDescent="0.25">
      <c r="AA66"/>
    </row>
    <row r="67" spans="1:27" s="82" customFormat="1" ht="15.75" x14ac:dyDescent="0.25">
      <c r="AA67"/>
    </row>
    <row r="68" spans="1:27" s="82" customFormat="1" ht="15.75" x14ac:dyDescent="0.25">
      <c r="AA68"/>
    </row>
    <row r="69" spans="1:27" s="82" customFormat="1" ht="15.75" x14ac:dyDescent="0.25">
      <c r="AA69"/>
    </row>
  </sheetData>
  <mergeCells count="14">
    <mergeCell ref="A64:P64"/>
    <mergeCell ref="A65:P65"/>
    <mergeCell ref="A58:P58"/>
    <mergeCell ref="A59:P59"/>
    <mergeCell ref="A60:P60"/>
    <mergeCell ref="A61:P61"/>
    <mergeCell ref="A62:P62"/>
    <mergeCell ref="A63:P63"/>
    <mergeCell ref="A57:P57"/>
    <mergeCell ref="C4:L4"/>
    <mergeCell ref="C5:L5"/>
    <mergeCell ref="C6:L6"/>
    <mergeCell ref="C7:L7"/>
    <mergeCell ref="A56:P56"/>
  </mergeCells>
  <printOptions horizontalCentered="1"/>
  <pageMargins left="0.25" right="0.25" top="0.75" bottom="0.75" header="0.25" footer="0.25"/>
  <pageSetup scale="34" orientation="landscape" horizontalDpi="1200" verticalDpi="1200" r:id="rId1"/>
  <headerFooter>
    <oddFooter>&amp;L2026 IND &amp;&amp; SG ACA MEDICAL RATE FILINGS -- COMMON EXHIBITS&amp;R03/21/2025</oddFooter>
  </headerFooter>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6F26E-08CA-4349-9FAC-31EC20EEE48A}">
  <sheetPr>
    <tabColor theme="9" tint="-0.499984740745262"/>
    <pageSetUpPr fitToPage="1"/>
  </sheetPr>
  <dimension ref="A1:I34"/>
  <sheetViews>
    <sheetView showGridLines="0" zoomScale="70" zoomScaleNormal="70" workbookViewId="0"/>
  </sheetViews>
  <sheetFormatPr defaultRowHeight="15" x14ac:dyDescent="0.25"/>
  <cols>
    <col min="1" max="1" width="38.7109375" bestFit="1" customWidth="1"/>
    <col min="2" max="7" width="9.28515625" customWidth="1"/>
    <col min="8" max="9" width="10.5703125" customWidth="1"/>
    <col min="10" max="10" width="7.140625" customWidth="1"/>
    <col min="11" max="11" width="114" customWidth="1"/>
  </cols>
  <sheetData>
    <row r="1" spans="1:9" ht="26.25" x14ac:dyDescent="0.4">
      <c r="A1" s="272" t="s">
        <v>150</v>
      </c>
    </row>
    <row r="2" spans="1:9" x14ac:dyDescent="0.25">
      <c r="A2" s="261"/>
    </row>
    <row r="3" spans="1:9" ht="18.75" x14ac:dyDescent="0.3">
      <c r="A3" s="98" t="s">
        <v>10</v>
      </c>
      <c r="B3" s="613" t="str">
        <f>CarrierName</f>
        <v>ABC Company</v>
      </c>
      <c r="C3" s="613"/>
      <c r="D3" s="614"/>
      <c r="E3" s="614"/>
      <c r="F3" s="614"/>
      <c r="G3" s="614"/>
      <c r="H3" s="614"/>
      <c r="I3" s="614"/>
    </row>
    <row r="4" spans="1:9" ht="18.75" x14ac:dyDescent="0.3">
      <c r="A4" s="98" t="s">
        <v>0</v>
      </c>
      <c r="B4" s="613" t="str">
        <f>Market</f>
        <v>Individual</v>
      </c>
      <c r="C4" s="613"/>
      <c r="D4" s="614"/>
      <c r="E4" s="614"/>
      <c r="F4" s="614"/>
      <c r="G4" s="614"/>
      <c r="H4" s="614"/>
      <c r="I4" s="614"/>
    </row>
    <row r="5" spans="1:9" ht="18.75" x14ac:dyDescent="0.3">
      <c r="A5" s="98" t="s">
        <v>12</v>
      </c>
      <c r="B5" s="613">
        <f>PlanYear</f>
        <v>2026</v>
      </c>
      <c r="C5" s="613"/>
      <c r="D5" s="614"/>
      <c r="E5" s="614"/>
      <c r="F5" s="614"/>
      <c r="G5" s="614"/>
      <c r="H5" s="614"/>
      <c r="I5" s="614"/>
    </row>
    <row r="6" spans="1:9" ht="18.75" x14ac:dyDescent="0.3">
      <c r="A6" s="98" t="s">
        <v>13</v>
      </c>
      <c r="B6" s="613">
        <f>ExperYear</f>
        <v>2024</v>
      </c>
      <c r="C6" s="613"/>
      <c r="D6" s="614"/>
      <c r="E6" s="614"/>
      <c r="F6" s="614"/>
      <c r="G6" s="614"/>
      <c r="H6" s="614"/>
      <c r="I6" s="614"/>
    </row>
    <row r="7" spans="1:9" x14ac:dyDescent="0.25">
      <c r="A7" s="261"/>
    </row>
    <row r="8" spans="1:9" x14ac:dyDescent="0.25">
      <c r="A8" s="8"/>
    </row>
    <row r="9" spans="1:9" ht="49.5" customHeight="1" x14ac:dyDescent="0.35">
      <c r="A9" s="271" t="s">
        <v>151</v>
      </c>
      <c r="B9" s="428" t="s">
        <v>152</v>
      </c>
      <c r="C9" s="428"/>
      <c r="D9" s="428" t="s">
        <v>153</v>
      </c>
      <c r="E9" s="429"/>
      <c r="F9" s="429"/>
      <c r="G9" s="429"/>
      <c r="H9" s="428" t="s">
        <v>154</v>
      </c>
      <c r="I9" s="429"/>
    </row>
    <row r="10" spans="1:9" ht="31.5" x14ac:dyDescent="0.25">
      <c r="A10" s="461" t="s">
        <v>155</v>
      </c>
      <c r="B10" s="462" t="str">
        <f>ExperYear-3&amp;" to
"&amp;ExperYear-1</f>
        <v>2021 to
2023</v>
      </c>
      <c r="C10" s="462" t="str">
        <f>ExperYear-2&amp;" to
"&amp;ExperYear</f>
        <v>2022 to
2024</v>
      </c>
      <c r="D10" s="462" t="str">
        <f>ExperYear-3&amp;" to
"&amp;ExperYear-1</f>
        <v>2021 to
2023</v>
      </c>
      <c r="E10" s="462" t="str">
        <f>ExperYear-2&amp;" to
"&amp;ExperYear</f>
        <v>2022 to
2024</v>
      </c>
      <c r="F10" s="462" t="str">
        <f>ExperYear-1&amp;" to
"&amp;ExperYear+1</f>
        <v>2023 to
2025</v>
      </c>
      <c r="G10" s="462" t="str">
        <f>ExperYear&amp;" to
"&amp;ExperYear+2</f>
        <v>2024 to
2026</v>
      </c>
      <c r="H10" s="428" t="str">
        <f>B10</f>
        <v>2021 to
2023</v>
      </c>
      <c r="I10" s="428" t="str">
        <f>C10</f>
        <v>2022 to
2024</v>
      </c>
    </row>
    <row r="11" spans="1:9" s="273" customFormat="1" ht="15.75" x14ac:dyDescent="0.25">
      <c r="A11" s="465"/>
      <c r="B11" s="463" t="str">
        <f t="shared" ref="B11:I11" si="0">"("&amp;COLUMN()&amp;")"</f>
        <v>(2)</v>
      </c>
      <c r="C11" s="464" t="str">
        <f t="shared" si="0"/>
        <v>(3)</v>
      </c>
      <c r="D11" s="465" t="str">
        <f t="shared" si="0"/>
        <v>(4)</v>
      </c>
      <c r="E11" s="465" t="str">
        <f t="shared" si="0"/>
        <v>(5)</v>
      </c>
      <c r="F11" s="465" t="str">
        <f t="shared" si="0"/>
        <v>(6)</v>
      </c>
      <c r="G11" s="465" t="str">
        <f t="shared" si="0"/>
        <v>(7)</v>
      </c>
      <c r="H11" s="463" t="str">
        <f t="shared" si="0"/>
        <v>(8)</v>
      </c>
      <c r="I11" s="464" t="str">
        <f t="shared" si="0"/>
        <v>(9)</v>
      </c>
    </row>
    <row r="12" spans="1:9" s="273" customFormat="1" ht="15.75" x14ac:dyDescent="0.25">
      <c r="A12" s="468"/>
      <c r="B12" s="466"/>
      <c r="C12" s="467"/>
      <c r="D12" s="468"/>
      <c r="E12" s="468"/>
      <c r="F12" s="468"/>
      <c r="G12" s="468"/>
      <c r="H12" s="466" t="str">
        <f>B11&amp;" vs. "&amp;D11</f>
        <v>(2) vs. (4)</v>
      </c>
      <c r="I12" s="467" t="str">
        <f>C11&amp;" vs. "&amp;E11</f>
        <v>(3) vs. (5)</v>
      </c>
    </row>
    <row r="13" spans="1:9" ht="15.75" x14ac:dyDescent="0.25">
      <c r="A13" s="476" t="s">
        <v>156</v>
      </c>
      <c r="B13" s="469"/>
      <c r="C13" s="77"/>
      <c r="D13" s="470"/>
      <c r="E13" s="305"/>
      <c r="F13" s="305"/>
      <c r="G13" s="305"/>
      <c r="H13" s="470"/>
      <c r="I13" s="471"/>
    </row>
    <row r="14" spans="1:9" ht="15.75" x14ac:dyDescent="0.25">
      <c r="A14" s="592" t="s">
        <v>289</v>
      </c>
      <c r="B14" s="593">
        <v>1</v>
      </c>
      <c r="C14" s="594">
        <v>1</v>
      </c>
      <c r="D14" s="593">
        <v>1</v>
      </c>
      <c r="E14" s="594">
        <v>1</v>
      </c>
      <c r="F14" s="594">
        <v>1</v>
      </c>
      <c r="G14" s="594">
        <v>1</v>
      </c>
      <c r="H14" s="583">
        <f t="shared" ref="H14:H15" si="1">B14/D14</f>
        <v>1</v>
      </c>
      <c r="I14" s="585">
        <f t="shared" ref="I14:I15" si="2">C14/E14</f>
        <v>1</v>
      </c>
    </row>
    <row r="15" spans="1:9" ht="15.75" x14ac:dyDescent="0.25">
      <c r="A15" s="478" t="s">
        <v>290</v>
      </c>
      <c r="B15" s="474">
        <v>1</v>
      </c>
      <c r="C15" s="475">
        <v>1</v>
      </c>
      <c r="D15" s="474">
        <v>1</v>
      </c>
      <c r="E15" s="475">
        <v>1</v>
      </c>
      <c r="F15" s="475">
        <v>1</v>
      </c>
      <c r="G15" s="475">
        <v>1</v>
      </c>
      <c r="H15" s="457">
        <f t="shared" si="1"/>
        <v>1</v>
      </c>
      <c r="I15" s="459">
        <f t="shared" si="2"/>
        <v>1</v>
      </c>
    </row>
    <row r="16" spans="1:9" ht="15.75" x14ac:dyDescent="0.25">
      <c r="A16" s="477" t="s">
        <v>115</v>
      </c>
      <c r="B16" s="472">
        <v>1</v>
      </c>
      <c r="C16" s="473">
        <v>1</v>
      </c>
      <c r="D16" s="472">
        <v>1</v>
      </c>
      <c r="E16" s="473">
        <v>1</v>
      </c>
      <c r="F16" s="473">
        <v>1</v>
      </c>
      <c r="G16" s="473">
        <v>1</v>
      </c>
      <c r="H16" s="434">
        <f>B16/D16</f>
        <v>1</v>
      </c>
      <c r="I16" s="436">
        <f>C16/E16</f>
        <v>1</v>
      </c>
    </row>
    <row r="17" spans="1:9" ht="15.75" x14ac:dyDescent="0.25">
      <c r="A17" s="477" t="s">
        <v>116</v>
      </c>
      <c r="B17" s="472">
        <v>1</v>
      </c>
      <c r="C17" s="473">
        <v>1</v>
      </c>
      <c r="D17" s="472">
        <v>1</v>
      </c>
      <c r="E17" s="473">
        <v>1</v>
      </c>
      <c r="F17" s="473">
        <v>1</v>
      </c>
      <c r="G17" s="473">
        <v>1</v>
      </c>
      <c r="H17" s="434">
        <f t="shared" ref="H17:I19" si="3">B17/D17</f>
        <v>1</v>
      </c>
      <c r="I17" s="436">
        <f t="shared" si="3"/>
        <v>1</v>
      </c>
    </row>
    <row r="18" spans="1:9" ht="15.75" x14ac:dyDescent="0.25">
      <c r="A18" s="477" t="s">
        <v>117</v>
      </c>
      <c r="B18" s="472">
        <v>1</v>
      </c>
      <c r="C18" s="473">
        <v>1</v>
      </c>
      <c r="D18" s="472">
        <v>1</v>
      </c>
      <c r="E18" s="473">
        <v>1</v>
      </c>
      <c r="F18" s="473">
        <v>1</v>
      </c>
      <c r="G18" s="473">
        <v>1</v>
      </c>
      <c r="H18" s="434">
        <f t="shared" si="3"/>
        <v>1</v>
      </c>
      <c r="I18" s="436">
        <f t="shared" si="3"/>
        <v>1</v>
      </c>
    </row>
    <row r="19" spans="1:9" ht="15.75" x14ac:dyDescent="0.25">
      <c r="A19" s="478" t="s">
        <v>157</v>
      </c>
      <c r="B19" s="474">
        <v>1</v>
      </c>
      <c r="C19" s="475">
        <v>1</v>
      </c>
      <c r="D19" s="474">
        <v>1</v>
      </c>
      <c r="E19" s="475">
        <v>1</v>
      </c>
      <c r="F19" s="475">
        <v>1</v>
      </c>
      <c r="G19" s="475">
        <v>1</v>
      </c>
      <c r="H19" s="457">
        <f t="shared" si="3"/>
        <v>1</v>
      </c>
      <c r="I19" s="459">
        <f t="shared" si="3"/>
        <v>1</v>
      </c>
    </row>
    <row r="21" spans="1:9" ht="17.25" x14ac:dyDescent="0.25">
      <c r="A21" s="57" t="s">
        <v>158</v>
      </c>
      <c r="B21" s="60"/>
      <c r="C21" s="60"/>
    </row>
    <row r="23" spans="1:9" ht="21" x14ac:dyDescent="0.35">
      <c r="A23" s="131" t="s">
        <v>49</v>
      </c>
      <c r="B23" s="131"/>
      <c r="C23" s="131"/>
      <c r="D23" s="134"/>
      <c r="E23" s="131"/>
    </row>
    <row r="24" spans="1:9" ht="15.75" x14ac:dyDescent="0.25">
      <c r="A24" s="82"/>
      <c r="B24" s="82"/>
      <c r="C24" s="82"/>
      <c r="D24" s="82"/>
      <c r="E24" s="82"/>
      <c r="F24" s="82"/>
      <c r="G24" s="82"/>
      <c r="H24" s="82"/>
      <c r="I24" s="82"/>
    </row>
    <row r="25" spans="1:9" ht="15.75" x14ac:dyDescent="0.25">
      <c r="A25" s="600"/>
      <c r="B25" s="601"/>
      <c r="C25" s="601"/>
      <c r="D25" s="601"/>
      <c r="E25" s="601"/>
      <c r="F25" s="601"/>
      <c r="G25" s="601"/>
      <c r="H25" s="601"/>
      <c r="I25" s="601"/>
    </row>
    <row r="26" spans="1:9" ht="15.75" x14ac:dyDescent="0.25">
      <c r="A26" s="600"/>
      <c r="B26" s="601"/>
      <c r="C26" s="601"/>
      <c r="D26" s="601"/>
      <c r="E26" s="601"/>
      <c r="F26" s="601"/>
      <c r="G26" s="601"/>
      <c r="H26" s="601"/>
      <c r="I26" s="601"/>
    </row>
    <row r="27" spans="1:9" ht="15.75" x14ac:dyDescent="0.25">
      <c r="A27" s="600"/>
      <c r="B27" s="601"/>
      <c r="C27" s="601"/>
      <c r="D27" s="601"/>
      <c r="E27" s="601"/>
      <c r="F27" s="601"/>
      <c r="G27" s="601"/>
      <c r="H27" s="601"/>
      <c r="I27" s="601"/>
    </row>
    <row r="28" spans="1:9" ht="15.75" x14ac:dyDescent="0.25">
      <c r="A28" s="600"/>
      <c r="B28" s="601"/>
      <c r="C28" s="601"/>
      <c r="D28" s="601"/>
      <c r="E28" s="601"/>
      <c r="F28" s="601"/>
      <c r="G28" s="601"/>
      <c r="H28" s="601"/>
      <c r="I28" s="601"/>
    </row>
    <row r="29" spans="1:9" ht="15.75" x14ac:dyDescent="0.25">
      <c r="A29" s="600"/>
      <c r="B29" s="601"/>
      <c r="C29" s="601"/>
      <c r="D29" s="601"/>
      <c r="E29" s="601"/>
      <c r="F29" s="601"/>
      <c r="G29" s="601"/>
      <c r="H29" s="601"/>
      <c r="I29" s="601"/>
    </row>
    <row r="30" spans="1:9" ht="15.75" x14ac:dyDescent="0.25">
      <c r="A30" s="600"/>
      <c r="B30" s="601"/>
      <c r="C30" s="601"/>
      <c r="D30" s="601"/>
      <c r="E30" s="601"/>
      <c r="F30" s="601"/>
      <c r="G30" s="601"/>
      <c r="H30" s="601"/>
      <c r="I30" s="601"/>
    </row>
    <row r="31" spans="1:9" ht="15.75" x14ac:dyDescent="0.25">
      <c r="A31" s="600"/>
      <c r="B31" s="601"/>
      <c r="C31" s="601"/>
      <c r="D31" s="601"/>
      <c r="E31" s="601"/>
      <c r="F31" s="601"/>
      <c r="G31" s="601"/>
      <c r="H31" s="601"/>
      <c r="I31" s="601"/>
    </row>
    <row r="32" spans="1:9" ht="15.75" x14ac:dyDescent="0.25">
      <c r="A32" s="600"/>
      <c r="B32" s="601"/>
      <c r="C32" s="601"/>
      <c r="D32" s="601"/>
      <c r="E32" s="601"/>
      <c r="F32" s="601"/>
      <c r="G32" s="601"/>
      <c r="H32" s="601"/>
      <c r="I32" s="601"/>
    </row>
    <row r="33" spans="1:9" ht="15.75" x14ac:dyDescent="0.25">
      <c r="A33" s="600"/>
      <c r="B33" s="601"/>
      <c r="C33" s="601"/>
      <c r="D33" s="601"/>
      <c r="E33" s="601"/>
      <c r="F33" s="601"/>
      <c r="G33" s="601"/>
      <c r="H33" s="601"/>
      <c r="I33" s="601"/>
    </row>
    <row r="34" spans="1:9" ht="15.75" x14ac:dyDescent="0.25">
      <c r="A34" s="600"/>
      <c r="B34" s="601"/>
      <c r="C34" s="601"/>
      <c r="D34" s="601"/>
      <c r="E34" s="601"/>
      <c r="F34" s="601"/>
      <c r="G34" s="601"/>
      <c r="H34" s="601"/>
      <c r="I34" s="601"/>
    </row>
  </sheetData>
  <mergeCells count="14">
    <mergeCell ref="A32:I32"/>
    <mergeCell ref="A33:I33"/>
    <mergeCell ref="A34:I34"/>
    <mergeCell ref="A25:I25"/>
    <mergeCell ref="A26:I26"/>
    <mergeCell ref="A27:I27"/>
    <mergeCell ref="A28:I28"/>
    <mergeCell ref="A30:I30"/>
    <mergeCell ref="A31:I31"/>
    <mergeCell ref="B3:I3"/>
    <mergeCell ref="B4:I4"/>
    <mergeCell ref="B5:I5"/>
    <mergeCell ref="B6:I6"/>
    <mergeCell ref="A29:I29"/>
  </mergeCells>
  <printOptions horizontalCentered="1"/>
  <pageMargins left="0.25" right="0.25" top="0.75" bottom="0.75" header="0.25" footer="0.25"/>
  <pageSetup scale="86" orientation="landscape" horizontalDpi="1200" verticalDpi="1200" r:id="rId1"/>
  <headerFooter>
    <oddFooter>&amp;L2026 IND &amp;&amp; SG ACA MEDICAL RATE FILINGS -- COMMON EXHIBITS&amp;R03/21/2025</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F74-F7EC-4921-BE23-955802816BCD}">
  <sheetPr>
    <tabColor theme="9" tint="-0.499984740745262"/>
    <pageSetUpPr fitToPage="1"/>
  </sheetPr>
  <dimension ref="A1:K23"/>
  <sheetViews>
    <sheetView showGridLines="0" zoomScale="70" zoomScaleNormal="70" workbookViewId="0">
      <pane xSplit="1" ySplit="9" topLeftCell="B10" activePane="bottomRight" state="frozen"/>
      <selection pane="topRight"/>
      <selection pane="bottomLeft"/>
      <selection pane="bottomRight"/>
    </sheetView>
  </sheetViews>
  <sheetFormatPr defaultColWidth="20.42578125" defaultRowHeight="15" x14ac:dyDescent="0.25"/>
  <cols>
    <col min="1" max="1" width="32.42578125" customWidth="1"/>
    <col min="2" max="2" width="16.85546875" customWidth="1"/>
    <col min="3" max="11" width="17.28515625" customWidth="1"/>
    <col min="12" max="13" width="3.85546875" customWidth="1"/>
    <col min="14" max="14" width="120.140625" customWidth="1"/>
  </cols>
  <sheetData>
    <row r="1" spans="1:11" ht="26.25" x14ac:dyDescent="0.4">
      <c r="A1" s="272" t="s">
        <v>296</v>
      </c>
    </row>
    <row r="2" spans="1:11" x14ac:dyDescent="0.25">
      <c r="A2" s="261"/>
    </row>
    <row r="3" spans="1:11" ht="18.75" x14ac:dyDescent="0.3">
      <c r="A3" s="98" t="s">
        <v>10</v>
      </c>
      <c r="B3" s="599" t="str">
        <f>CarrierName</f>
        <v>ABC Company</v>
      </c>
      <c r="C3" s="599"/>
      <c r="D3" s="599"/>
      <c r="E3" s="599"/>
      <c r="F3" s="599"/>
      <c r="G3" s="599"/>
      <c r="H3" s="599"/>
      <c r="I3" s="599"/>
      <c r="J3" s="599"/>
      <c r="K3" s="599"/>
    </row>
    <row r="4" spans="1:11" ht="18.75" x14ac:dyDescent="0.3">
      <c r="A4" s="98" t="s">
        <v>0</v>
      </c>
      <c r="B4" s="599" t="str">
        <f>Market</f>
        <v>Individual</v>
      </c>
      <c r="C4" s="599"/>
      <c r="D4" s="599"/>
      <c r="E4" s="599"/>
      <c r="F4" s="599"/>
      <c r="G4" s="599"/>
      <c r="H4" s="599"/>
      <c r="I4" s="599"/>
      <c r="J4" s="599"/>
      <c r="K4" s="599"/>
    </row>
    <row r="5" spans="1:11" ht="18.75" x14ac:dyDescent="0.3">
      <c r="A5" s="98" t="s">
        <v>12</v>
      </c>
      <c r="B5" s="599">
        <f>PlanYear</f>
        <v>2026</v>
      </c>
      <c r="C5" s="599"/>
      <c r="D5" s="599"/>
      <c r="E5" s="599"/>
      <c r="F5" s="599"/>
      <c r="G5" s="599"/>
      <c r="H5" s="599"/>
      <c r="I5" s="599"/>
      <c r="J5" s="599"/>
      <c r="K5" s="599"/>
    </row>
    <row r="6" spans="1:11" ht="18.75" x14ac:dyDescent="0.3">
      <c r="A6" s="98" t="s">
        <v>13</v>
      </c>
      <c r="B6" s="599">
        <f>ExperYear</f>
        <v>2024</v>
      </c>
      <c r="C6" s="599"/>
      <c r="D6" s="599"/>
      <c r="E6" s="599"/>
      <c r="F6" s="599"/>
      <c r="G6" s="599"/>
      <c r="H6" s="599"/>
      <c r="I6" s="599"/>
      <c r="J6" s="599"/>
      <c r="K6" s="599"/>
    </row>
    <row r="7" spans="1:11" x14ac:dyDescent="0.25">
      <c r="A7" s="261"/>
    </row>
    <row r="8" spans="1:11" ht="21" x14ac:dyDescent="0.35">
      <c r="A8" s="271" t="s">
        <v>273</v>
      </c>
      <c r="F8" s="551" t="s">
        <v>274</v>
      </c>
      <c r="G8" s="551"/>
      <c r="H8" s="551"/>
      <c r="I8" s="555" t="s">
        <v>275</v>
      </c>
      <c r="J8" s="556"/>
      <c r="K8" s="556"/>
    </row>
    <row r="9" spans="1:11" s="375" customFormat="1" ht="69.75" customHeight="1" x14ac:dyDescent="0.25">
      <c r="A9" s="306" t="s">
        <v>166</v>
      </c>
      <c r="B9" s="306" t="s">
        <v>3</v>
      </c>
      <c r="C9" s="306" t="s">
        <v>243</v>
      </c>
      <c r="D9" s="306" t="s">
        <v>244</v>
      </c>
      <c r="E9" s="306" t="s">
        <v>245</v>
      </c>
      <c r="F9" s="306" t="s">
        <v>246</v>
      </c>
      <c r="G9" s="306" t="s">
        <v>247</v>
      </c>
      <c r="H9" s="306" t="s">
        <v>248</v>
      </c>
      <c r="I9" s="557" t="s">
        <v>276</v>
      </c>
      <c r="J9" s="558" t="s">
        <v>277</v>
      </c>
      <c r="K9" s="558" t="s">
        <v>278</v>
      </c>
    </row>
    <row r="10" spans="1:11" ht="15.75" x14ac:dyDescent="0.25">
      <c r="A10" s="552"/>
      <c r="B10" s="560" t="s">
        <v>7</v>
      </c>
      <c r="C10" s="553"/>
      <c r="D10" s="550"/>
      <c r="E10" s="550">
        <v>0.71099999999999997</v>
      </c>
      <c r="F10" s="550"/>
      <c r="G10" s="550"/>
      <c r="H10" s="554">
        <v>0.73499999999999999</v>
      </c>
      <c r="I10" s="274">
        <f>tbl_Exh8.1[[#This Row],[AV Pricing Value
2024]]-tbl_Exh8.1[[#This Row],[AV Metal Value
2024]]</f>
        <v>0</v>
      </c>
      <c r="J10" s="274">
        <f>tbl_Exh8.1[[#This Row],[AV Pricing Value
2025]]-tbl_Exh8.1[[#This Row],[AV Metal Value
2025]]</f>
        <v>0</v>
      </c>
      <c r="K10" s="274">
        <f>tbl_Exh8.1[[#This Row],[AV Pricing Value
2026]]-tbl_Exh8.1[[#This Row],[AV Metal Value
2026]]</f>
        <v>2.4000000000000021E-2</v>
      </c>
    </row>
    <row r="11" spans="1:11" ht="15.75" x14ac:dyDescent="0.25">
      <c r="A11" s="565"/>
      <c r="B11" s="566" t="s">
        <v>7</v>
      </c>
      <c r="C11" s="567"/>
      <c r="D11" s="568"/>
      <c r="E11" s="568">
        <v>0.71099999999999997</v>
      </c>
      <c r="F11" s="568"/>
      <c r="G11" s="568"/>
      <c r="H11" s="569">
        <v>0.71099999999999997</v>
      </c>
      <c r="I11" s="274">
        <f>tbl_Exh8.1[[#This Row],[AV Pricing Value
2024]]-tbl_Exh8.1[[#This Row],[AV Metal Value
2024]]</f>
        <v>0</v>
      </c>
      <c r="J11" s="274">
        <f>tbl_Exh8.1[[#This Row],[AV Pricing Value
2025]]-tbl_Exh8.1[[#This Row],[AV Metal Value
2025]]</f>
        <v>0</v>
      </c>
      <c r="K11" s="274">
        <f>tbl_Exh8.1[[#This Row],[AV Pricing Value
2026]]-tbl_Exh8.1[[#This Row],[AV Metal Value
2026]]</f>
        <v>0</v>
      </c>
    </row>
    <row r="12" spans="1:11" ht="15.75" x14ac:dyDescent="0.25">
      <c r="A12" s="546"/>
      <c r="B12" s="561" t="s">
        <v>7</v>
      </c>
      <c r="C12" s="547"/>
      <c r="D12" s="548"/>
      <c r="E12" s="548">
        <v>0.71099999999999997</v>
      </c>
      <c r="F12" s="548"/>
      <c r="G12" s="548"/>
      <c r="H12" s="549">
        <v>0.7</v>
      </c>
      <c r="I12" s="274">
        <f>tbl_Exh8.1[[#This Row],[AV Pricing Value
2024]]-tbl_Exh8.1[[#This Row],[AV Metal Value
2024]]</f>
        <v>0</v>
      </c>
      <c r="J12" s="274">
        <f>tbl_Exh8.1[[#This Row],[AV Pricing Value
2025]]-tbl_Exh8.1[[#This Row],[AV Metal Value
2025]]</f>
        <v>0</v>
      </c>
      <c r="K12" s="274">
        <f>tbl_Exh8.1[[#This Row],[AV Pricing Value
2026]]-tbl_Exh8.1[[#This Row],[AV Metal Value
2026]]</f>
        <v>-1.100000000000001E-2</v>
      </c>
    </row>
    <row r="14" spans="1:11" ht="15.75" x14ac:dyDescent="0.25">
      <c r="C14" s="551" t="s">
        <v>279</v>
      </c>
      <c r="D14" s="551"/>
      <c r="E14" s="551"/>
      <c r="F14" s="551" t="s">
        <v>280</v>
      </c>
      <c r="G14" s="551"/>
      <c r="H14" s="551"/>
      <c r="I14" s="555" t="s">
        <v>275</v>
      </c>
      <c r="J14" s="556"/>
      <c r="K14" s="556"/>
    </row>
    <row r="15" spans="1:11" s="82" customFormat="1" ht="15.75" x14ac:dyDescent="0.25">
      <c r="A15" s="564"/>
      <c r="C15" s="306" t="s">
        <v>276</v>
      </c>
      <c r="D15" s="306" t="s">
        <v>277</v>
      </c>
      <c r="E15" s="306" t="s">
        <v>278</v>
      </c>
      <c r="F15" s="306" t="s">
        <v>276</v>
      </c>
      <c r="G15" s="306" t="s">
        <v>277</v>
      </c>
      <c r="H15" s="306" t="s">
        <v>278</v>
      </c>
      <c r="I15" s="557" t="s">
        <v>276</v>
      </c>
      <c r="J15" s="557" t="s">
        <v>277</v>
      </c>
      <c r="K15" s="557" t="s">
        <v>278</v>
      </c>
    </row>
    <row r="16" spans="1:11" s="82" customFormat="1" ht="15.75" x14ac:dyDescent="0.25">
      <c r="A16" s="564"/>
      <c r="C16" s="562"/>
      <c r="D16" s="562"/>
      <c r="E16" s="562"/>
      <c r="F16" s="562"/>
      <c r="G16" s="562"/>
      <c r="H16" s="562"/>
      <c r="I16" s="563">
        <f>F16-C16</f>
        <v>0</v>
      </c>
      <c r="J16" s="563">
        <f t="shared" ref="J16:K16" si="0">G16-D16</f>
        <v>0</v>
      </c>
      <c r="K16" s="563">
        <f t="shared" si="0"/>
        <v>0</v>
      </c>
    </row>
    <row r="18" spans="1:11" ht="21.75" thickBot="1" x14ac:dyDescent="0.4">
      <c r="A18" s="131" t="s">
        <v>49</v>
      </c>
      <c r="B18" s="131"/>
      <c r="C18" s="131"/>
    </row>
    <row r="19" spans="1:11" ht="16.5" thickTop="1" x14ac:dyDescent="0.25">
      <c r="A19" s="82"/>
      <c r="B19" s="82"/>
      <c r="C19" s="82"/>
      <c r="D19" s="82"/>
      <c r="E19" s="82"/>
      <c r="F19" s="82"/>
      <c r="G19" s="82"/>
      <c r="H19" s="82"/>
      <c r="I19" s="82"/>
      <c r="J19" s="82"/>
      <c r="K19" s="82"/>
    </row>
    <row r="20" spans="1:11" ht="15.75" x14ac:dyDescent="0.25">
      <c r="A20" s="600"/>
      <c r="B20" s="600"/>
      <c r="C20" s="600"/>
      <c r="D20" s="600"/>
      <c r="E20" s="600"/>
      <c r="F20" s="600"/>
      <c r="G20" s="600"/>
      <c r="H20" s="600"/>
      <c r="I20" s="600"/>
      <c r="J20" s="600"/>
      <c r="K20" s="600"/>
    </row>
    <row r="21" spans="1:11" ht="15.75" x14ac:dyDescent="0.25">
      <c r="A21" s="600"/>
      <c r="B21" s="600"/>
      <c r="C21" s="600"/>
      <c r="D21" s="600"/>
      <c r="E21" s="600"/>
      <c r="F21" s="600"/>
      <c r="G21" s="600"/>
      <c r="H21" s="600"/>
      <c r="I21" s="600"/>
      <c r="J21" s="600"/>
      <c r="K21" s="600"/>
    </row>
    <row r="22" spans="1:11" ht="15.75" x14ac:dyDescent="0.25">
      <c r="A22" s="600"/>
      <c r="B22" s="600"/>
      <c r="C22" s="600"/>
      <c r="D22" s="600"/>
      <c r="E22" s="600"/>
      <c r="F22" s="600"/>
      <c r="G22" s="600"/>
      <c r="H22" s="600"/>
      <c r="I22" s="600"/>
      <c r="J22" s="600"/>
      <c r="K22" s="600"/>
    </row>
    <row r="23" spans="1:11" ht="15.75" x14ac:dyDescent="0.25">
      <c r="A23" s="600"/>
      <c r="B23" s="600"/>
      <c r="C23" s="600"/>
      <c r="D23" s="600"/>
      <c r="E23" s="600"/>
      <c r="F23" s="600"/>
      <c r="G23" s="600"/>
      <c r="H23" s="600"/>
      <c r="I23" s="600"/>
      <c r="J23" s="600"/>
      <c r="K23" s="600"/>
    </row>
  </sheetData>
  <mergeCells count="8">
    <mergeCell ref="A21:K21"/>
    <mergeCell ref="A22:K22"/>
    <mergeCell ref="A23:K23"/>
    <mergeCell ref="B3:K3"/>
    <mergeCell ref="B4:K4"/>
    <mergeCell ref="B5:K5"/>
    <mergeCell ref="B6:K6"/>
    <mergeCell ref="A20:K20"/>
  </mergeCells>
  <phoneticPr fontId="36" type="noConversion"/>
  <printOptions horizontalCentered="1"/>
  <pageMargins left="0.25" right="0.25" top="0.75" bottom="0.75" header="0.25" footer="0.25"/>
  <pageSetup scale="66" orientation="landscape" horizontalDpi="1200" verticalDpi="1200" r:id="rId1"/>
  <headerFooter>
    <oddFooter>&amp;L2026 IND &amp;&amp; SG ACA MEDICAL RATE FILINGS -- COMMON EXHIBITS&amp;R03/21/2025</oddFooter>
  </headerFooter>
  <ignoredErrors>
    <ignoredError sqref="I15:K15 C15:H15" numberStoredAsText="1"/>
  </ignoredErrors>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A71045E-679A-4043-90F5-780A89B275CA}">
          <x14:formula1>
            <xm:f>Lookups!$A$6:$A$10</xm:f>
          </x14:formula1>
          <xm:sqref>B10:B12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8AD6-0AC2-4465-BC65-643196F1B544}">
  <sheetPr>
    <tabColor theme="9" tint="-0.499984740745262"/>
    <pageSetUpPr fitToPage="1"/>
  </sheetPr>
  <dimension ref="A1:R39"/>
  <sheetViews>
    <sheetView showGridLines="0" zoomScale="70" zoomScaleNormal="70" workbookViewId="0"/>
  </sheetViews>
  <sheetFormatPr defaultRowHeight="15" x14ac:dyDescent="0.25"/>
  <cols>
    <col min="1" max="1" width="52.5703125" bestFit="1" customWidth="1"/>
    <col min="2" max="9" width="10.42578125" bestFit="1" customWidth="1"/>
    <col min="10" max="12" width="9.28515625" customWidth="1"/>
    <col min="13" max="13" width="10.85546875" customWidth="1"/>
    <col min="14" max="14" width="12.28515625" customWidth="1"/>
    <col min="15" max="16" width="10.85546875" customWidth="1"/>
    <col min="17" max="17" width="12.85546875" customWidth="1"/>
    <col min="18" max="18" width="14.85546875" customWidth="1"/>
    <col min="19" max="19" width="4.28515625" customWidth="1"/>
    <col min="20" max="20" width="111" customWidth="1"/>
  </cols>
  <sheetData>
    <row r="1" spans="1:17" ht="26.25" x14ac:dyDescent="0.4">
      <c r="A1" s="272" t="s">
        <v>297</v>
      </c>
    </row>
    <row r="2" spans="1:17" x14ac:dyDescent="0.25">
      <c r="A2" s="261"/>
    </row>
    <row r="3" spans="1:17" ht="18.75" x14ac:dyDescent="0.3">
      <c r="A3" s="98" t="s">
        <v>10</v>
      </c>
      <c r="B3" s="599" t="str">
        <f>CarrierName</f>
        <v>ABC Company</v>
      </c>
      <c r="C3" s="599"/>
      <c r="D3" s="599"/>
      <c r="E3" s="599"/>
      <c r="F3" s="599"/>
      <c r="G3" s="599"/>
      <c r="H3" s="599"/>
      <c r="I3" s="599"/>
      <c r="J3" s="599"/>
      <c r="K3" s="599"/>
      <c r="L3" s="599"/>
      <c r="M3" s="599"/>
      <c r="N3" s="599"/>
      <c r="O3" s="599"/>
      <c r="P3" s="599"/>
      <c r="Q3" s="599"/>
    </row>
    <row r="4" spans="1:17" ht="18.75" x14ac:dyDescent="0.3">
      <c r="A4" s="98" t="s">
        <v>0</v>
      </c>
      <c r="B4" s="599" t="str">
        <f>Market</f>
        <v>Individual</v>
      </c>
      <c r="C4" s="599"/>
      <c r="D4" s="599"/>
      <c r="E4" s="599"/>
      <c r="F4" s="599"/>
      <c r="G4" s="599"/>
      <c r="H4" s="599"/>
      <c r="I4" s="599"/>
      <c r="J4" s="599"/>
      <c r="K4" s="599"/>
      <c r="L4" s="599"/>
      <c r="M4" s="599"/>
      <c r="N4" s="599"/>
      <c r="O4" s="599"/>
      <c r="P4" s="599"/>
      <c r="Q4" s="599"/>
    </row>
    <row r="5" spans="1:17" ht="18.75" x14ac:dyDescent="0.3">
      <c r="A5" s="98" t="s">
        <v>12</v>
      </c>
      <c r="B5" s="599">
        <f>PlanYear</f>
        <v>2026</v>
      </c>
      <c r="C5" s="599"/>
      <c r="D5" s="599"/>
      <c r="E5" s="599"/>
      <c r="F5" s="599"/>
      <c r="G5" s="599"/>
      <c r="H5" s="599"/>
      <c r="I5" s="599"/>
      <c r="J5" s="599"/>
      <c r="K5" s="599"/>
      <c r="L5" s="599"/>
      <c r="M5" s="599"/>
      <c r="N5" s="599"/>
      <c r="O5" s="599"/>
      <c r="P5" s="599"/>
      <c r="Q5" s="599"/>
    </row>
    <row r="6" spans="1:17" ht="18.75" x14ac:dyDescent="0.3">
      <c r="A6" s="98" t="s">
        <v>13</v>
      </c>
      <c r="B6" s="599">
        <f>ExperYear</f>
        <v>2024</v>
      </c>
      <c r="C6" s="599"/>
      <c r="D6" s="599"/>
      <c r="E6" s="599"/>
      <c r="F6" s="599"/>
      <c r="G6" s="599"/>
      <c r="H6" s="599"/>
      <c r="I6" s="599"/>
      <c r="J6" s="599"/>
      <c r="K6" s="599"/>
      <c r="L6" s="599"/>
      <c r="M6" s="599"/>
      <c r="N6" s="599"/>
      <c r="O6" s="599"/>
      <c r="P6" s="599"/>
      <c r="Q6" s="599"/>
    </row>
    <row r="7" spans="1:17" x14ac:dyDescent="0.25">
      <c r="A7" s="1"/>
    </row>
    <row r="8" spans="1:17" ht="32.25" x14ac:dyDescent="0.3">
      <c r="A8" s="427" t="s">
        <v>254</v>
      </c>
      <c r="B8" s="428" t="s">
        <v>152</v>
      </c>
      <c r="C8" s="428"/>
      <c r="D8" s="428"/>
      <c r="E8" s="428" t="s">
        <v>153</v>
      </c>
      <c r="F8" s="428"/>
      <c r="G8" s="428"/>
      <c r="H8" s="428"/>
      <c r="I8" s="428"/>
      <c r="J8" s="428" t="s">
        <v>253</v>
      </c>
      <c r="K8" s="428"/>
      <c r="L8" s="428"/>
      <c r="M8" s="428"/>
      <c r="N8" s="615" t="str">
        <f>D9&amp;" EXPERIENCE to "&amp;I9&amp;" PROJECTED"</f>
        <v>2024 EXPERIENCE to 2026 PROJECTED</v>
      </c>
      <c r="O8" s="428" t="s">
        <v>154</v>
      </c>
      <c r="P8" s="428"/>
      <c r="Q8" s="428"/>
    </row>
    <row r="9" spans="1:17" ht="31.5" x14ac:dyDescent="0.25">
      <c r="A9" s="461" t="s">
        <v>155</v>
      </c>
      <c r="B9" s="428">
        <f>C9-1</f>
        <v>2022</v>
      </c>
      <c r="C9" s="428">
        <f t="shared" ref="C9" si="0">D9-1</f>
        <v>2023</v>
      </c>
      <c r="D9" s="428">
        <f>ExperYear</f>
        <v>2024</v>
      </c>
      <c r="E9" s="428">
        <f t="shared" ref="E9:G9" si="1">F9-1</f>
        <v>2022</v>
      </c>
      <c r="F9" s="428">
        <f t="shared" si="1"/>
        <v>2023</v>
      </c>
      <c r="G9" s="428">
        <f t="shared" si="1"/>
        <v>2024</v>
      </c>
      <c r="H9" s="428">
        <f>I9-1</f>
        <v>2025</v>
      </c>
      <c r="I9" s="428">
        <f>PlanYear</f>
        <v>2026</v>
      </c>
      <c r="J9" s="428" t="str">
        <f>E9&amp;" to
"&amp;F9</f>
        <v>2022 to
2023</v>
      </c>
      <c r="K9" s="428" t="str">
        <f>F9&amp;" to
"&amp;G9</f>
        <v>2023 to
2024</v>
      </c>
      <c r="L9" s="428" t="str">
        <f>G9&amp;" to
"&amp;H9</f>
        <v>2024 to
2025</v>
      </c>
      <c r="M9" s="428" t="str">
        <f>H9&amp;" to
"&amp;I9</f>
        <v>2025 to
2026</v>
      </c>
      <c r="N9" s="616"/>
      <c r="O9" s="575">
        <f>B9</f>
        <v>2022</v>
      </c>
      <c r="P9" s="575">
        <f t="shared" ref="P9:Q9" si="2">C9</f>
        <v>2023</v>
      </c>
      <c r="Q9" s="575">
        <f t="shared" si="2"/>
        <v>2024</v>
      </c>
    </row>
    <row r="10" spans="1:17" ht="15.75" x14ac:dyDescent="0.25">
      <c r="A10" s="574" t="s">
        <v>236</v>
      </c>
      <c r="B10" s="454">
        <v>1</v>
      </c>
      <c r="C10" s="455">
        <v>1</v>
      </c>
      <c r="D10" s="455">
        <v>1</v>
      </c>
      <c r="E10" s="454">
        <v>1</v>
      </c>
      <c r="F10" s="455">
        <v>1</v>
      </c>
      <c r="G10" s="455">
        <v>1</v>
      </c>
      <c r="H10" s="455">
        <v>1</v>
      </c>
      <c r="I10" s="456">
        <v>1</v>
      </c>
      <c r="J10" s="457">
        <f t="shared" ref="J10:M10" si="3">F10/E10</f>
        <v>1</v>
      </c>
      <c r="K10" s="458">
        <f t="shared" si="3"/>
        <v>1</v>
      </c>
      <c r="L10" s="458">
        <f t="shared" si="3"/>
        <v>1</v>
      </c>
      <c r="M10" s="459">
        <f t="shared" si="3"/>
        <v>1</v>
      </c>
      <c r="N10" s="460">
        <f t="shared" ref="N10:N15" si="4">I10/D10</f>
        <v>1</v>
      </c>
      <c r="O10" s="458">
        <f t="shared" ref="O10:O15" si="5">B10/E10</f>
        <v>1</v>
      </c>
      <c r="P10" s="458">
        <f t="shared" ref="P10:Q10" si="6">C10/F10</f>
        <v>1</v>
      </c>
      <c r="Q10" s="459">
        <f t="shared" si="6"/>
        <v>1</v>
      </c>
    </row>
    <row r="11" spans="1:17" ht="15.75" x14ac:dyDescent="0.25">
      <c r="A11" s="595" t="s">
        <v>284</v>
      </c>
      <c r="B11" s="580">
        <v>1</v>
      </c>
      <c r="C11" s="581">
        <v>1</v>
      </c>
      <c r="D11" s="581">
        <v>1</v>
      </c>
      <c r="E11" s="580">
        <v>1</v>
      </c>
      <c r="F11" s="581">
        <v>1</v>
      </c>
      <c r="G11" s="581">
        <v>1</v>
      </c>
      <c r="H11" s="581">
        <v>1</v>
      </c>
      <c r="I11" s="582">
        <v>1</v>
      </c>
      <c r="J11" s="583">
        <f t="shared" ref="J11:J15" si="7">F11/E11</f>
        <v>1</v>
      </c>
      <c r="K11" s="584">
        <f t="shared" ref="K11:K15" si="8">G11/F11</f>
        <v>1</v>
      </c>
      <c r="L11" s="584">
        <f t="shared" ref="L11:L15" si="9">H11/G11</f>
        <v>1</v>
      </c>
      <c r="M11" s="585">
        <f t="shared" ref="M11:M15" si="10">I11/H11</f>
        <v>1</v>
      </c>
      <c r="N11" s="586">
        <f t="shared" si="4"/>
        <v>1</v>
      </c>
      <c r="O11" s="584">
        <f t="shared" si="5"/>
        <v>1</v>
      </c>
      <c r="P11" s="584">
        <f t="shared" ref="P11:P15" si="11">C11/F11</f>
        <v>1</v>
      </c>
      <c r="Q11" s="585">
        <f t="shared" ref="Q11:Q15" si="12">D11/G11</f>
        <v>1</v>
      </c>
    </row>
    <row r="12" spans="1:17" ht="15.75" x14ac:dyDescent="0.25">
      <c r="A12" s="438" t="s">
        <v>285</v>
      </c>
      <c r="B12" s="431">
        <v>1</v>
      </c>
      <c r="C12" s="432">
        <v>1</v>
      </c>
      <c r="D12" s="432">
        <v>1</v>
      </c>
      <c r="E12" s="431">
        <v>1</v>
      </c>
      <c r="F12" s="432">
        <v>1</v>
      </c>
      <c r="G12" s="432">
        <v>1</v>
      </c>
      <c r="H12" s="432">
        <v>1</v>
      </c>
      <c r="I12" s="433">
        <v>1</v>
      </c>
      <c r="J12" s="434">
        <f t="shared" si="7"/>
        <v>1</v>
      </c>
      <c r="K12" s="435">
        <f t="shared" si="8"/>
        <v>1</v>
      </c>
      <c r="L12" s="435">
        <f t="shared" si="9"/>
        <v>1</v>
      </c>
      <c r="M12" s="436">
        <f t="shared" si="10"/>
        <v>1</v>
      </c>
      <c r="N12" s="437">
        <f t="shared" si="4"/>
        <v>1</v>
      </c>
      <c r="O12" s="435">
        <f t="shared" si="5"/>
        <v>1</v>
      </c>
      <c r="P12" s="435">
        <f t="shared" si="11"/>
        <v>1</v>
      </c>
      <c r="Q12" s="436">
        <f t="shared" si="12"/>
        <v>1</v>
      </c>
    </row>
    <row r="13" spans="1:17" ht="15.75" x14ac:dyDescent="0.25">
      <c r="A13" s="438" t="s">
        <v>286</v>
      </c>
      <c r="B13" s="431">
        <v>1</v>
      </c>
      <c r="C13" s="432">
        <v>1</v>
      </c>
      <c r="D13" s="432">
        <v>1</v>
      </c>
      <c r="E13" s="431">
        <v>1</v>
      </c>
      <c r="F13" s="432">
        <v>1</v>
      </c>
      <c r="G13" s="432">
        <v>1</v>
      </c>
      <c r="H13" s="432">
        <v>1</v>
      </c>
      <c r="I13" s="433">
        <v>1</v>
      </c>
      <c r="J13" s="434">
        <f t="shared" si="7"/>
        <v>1</v>
      </c>
      <c r="K13" s="435">
        <f t="shared" si="8"/>
        <v>1</v>
      </c>
      <c r="L13" s="435">
        <f t="shared" si="9"/>
        <v>1</v>
      </c>
      <c r="M13" s="436">
        <f t="shared" si="10"/>
        <v>1</v>
      </c>
      <c r="N13" s="437">
        <f t="shared" si="4"/>
        <v>1</v>
      </c>
      <c r="O13" s="435">
        <f t="shared" si="5"/>
        <v>1</v>
      </c>
      <c r="P13" s="435">
        <f t="shared" si="11"/>
        <v>1</v>
      </c>
      <c r="Q13" s="436">
        <f t="shared" si="12"/>
        <v>1</v>
      </c>
    </row>
    <row r="14" spans="1:17" ht="15.75" x14ac:dyDescent="0.25">
      <c r="A14" s="438" t="s">
        <v>287</v>
      </c>
      <c r="B14" s="431">
        <v>1</v>
      </c>
      <c r="C14" s="432">
        <v>1</v>
      </c>
      <c r="D14" s="432">
        <v>1</v>
      </c>
      <c r="E14" s="431">
        <v>1</v>
      </c>
      <c r="F14" s="432">
        <v>1</v>
      </c>
      <c r="G14" s="432">
        <v>1</v>
      </c>
      <c r="H14" s="432">
        <v>1</v>
      </c>
      <c r="I14" s="433">
        <v>1</v>
      </c>
      <c r="J14" s="434">
        <f t="shared" si="7"/>
        <v>1</v>
      </c>
      <c r="K14" s="435">
        <f t="shared" si="8"/>
        <v>1</v>
      </c>
      <c r="L14" s="435">
        <f t="shared" si="9"/>
        <v>1</v>
      </c>
      <c r="M14" s="436">
        <f t="shared" si="10"/>
        <v>1</v>
      </c>
      <c r="N14" s="437">
        <f t="shared" si="4"/>
        <v>1</v>
      </c>
      <c r="O14" s="435">
        <f t="shared" si="5"/>
        <v>1</v>
      </c>
      <c r="P14" s="435">
        <f t="shared" si="11"/>
        <v>1</v>
      </c>
      <c r="Q14" s="436">
        <f t="shared" si="12"/>
        <v>1</v>
      </c>
    </row>
    <row r="15" spans="1:17" ht="15.75" x14ac:dyDescent="0.25">
      <c r="A15" s="596" t="s">
        <v>288</v>
      </c>
      <c r="B15" s="454">
        <v>1</v>
      </c>
      <c r="C15" s="455">
        <v>1</v>
      </c>
      <c r="D15" s="455">
        <v>1</v>
      </c>
      <c r="E15" s="454">
        <v>1</v>
      </c>
      <c r="F15" s="455">
        <v>1</v>
      </c>
      <c r="G15" s="455">
        <v>1</v>
      </c>
      <c r="H15" s="455">
        <v>1</v>
      </c>
      <c r="I15" s="456">
        <v>1</v>
      </c>
      <c r="J15" s="457">
        <f t="shared" si="7"/>
        <v>1</v>
      </c>
      <c r="K15" s="458">
        <f t="shared" si="8"/>
        <v>1</v>
      </c>
      <c r="L15" s="458">
        <f t="shared" si="9"/>
        <v>1</v>
      </c>
      <c r="M15" s="459">
        <f t="shared" si="10"/>
        <v>1</v>
      </c>
      <c r="N15" s="460">
        <f t="shared" si="4"/>
        <v>1</v>
      </c>
      <c r="O15" s="458">
        <f t="shared" si="5"/>
        <v>1</v>
      </c>
      <c r="P15" s="458">
        <f t="shared" si="11"/>
        <v>1</v>
      </c>
      <c r="Q15" s="459">
        <f t="shared" si="12"/>
        <v>1</v>
      </c>
    </row>
    <row r="16" spans="1:17" ht="15.75" x14ac:dyDescent="0.25">
      <c r="A16" s="438"/>
      <c r="B16" s="439"/>
      <c r="C16" s="82"/>
      <c r="D16" s="82"/>
      <c r="E16" s="439"/>
      <c r="F16" s="82"/>
      <c r="G16" s="82"/>
      <c r="H16" s="82"/>
      <c r="I16" s="440"/>
      <c r="J16" s="439"/>
      <c r="K16" s="82"/>
      <c r="L16" s="82"/>
      <c r="M16" s="440"/>
      <c r="N16" s="440"/>
      <c r="O16" s="82"/>
      <c r="P16" s="82"/>
      <c r="Q16" s="440"/>
    </row>
    <row r="17" spans="1:18" ht="15.75" x14ac:dyDescent="0.25">
      <c r="A17" s="588" t="s">
        <v>255</v>
      </c>
      <c r="B17" s="589"/>
      <c r="C17" s="590"/>
      <c r="D17" s="590"/>
      <c r="E17" s="589"/>
      <c r="F17" s="590"/>
      <c r="G17" s="590"/>
      <c r="H17" s="590"/>
      <c r="I17" s="591"/>
      <c r="J17" s="589"/>
      <c r="K17" s="590"/>
      <c r="L17" s="590"/>
      <c r="M17" s="591"/>
      <c r="N17" s="591"/>
      <c r="O17" s="590"/>
      <c r="P17" s="590"/>
      <c r="Q17" s="591"/>
    </row>
    <row r="18" spans="1:18" ht="15.75" x14ac:dyDescent="0.25">
      <c r="A18" s="578" t="s">
        <v>160</v>
      </c>
      <c r="B18" s="441">
        <v>1</v>
      </c>
      <c r="C18" s="442">
        <v>1</v>
      </c>
      <c r="D18" s="442">
        <v>1</v>
      </c>
      <c r="E18" s="431">
        <v>1</v>
      </c>
      <c r="F18" s="432">
        <v>1</v>
      </c>
      <c r="G18" s="432">
        <v>1</v>
      </c>
      <c r="H18" s="432">
        <v>1</v>
      </c>
      <c r="I18" s="433">
        <v>1</v>
      </c>
      <c r="J18" s="434">
        <f t="shared" ref="J18:M24" si="13">F18/E18</f>
        <v>1</v>
      </c>
      <c r="K18" s="435">
        <f t="shared" si="13"/>
        <v>1</v>
      </c>
      <c r="L18" s="435">
        <f t="shared" si="13"/>
        <v>1</v>
      </c>
      <c r="M18" s="436">
        <f t="shared" si="13"/>
        <v>1</v>
      </c>
      <c r="N18" s="437">
        <f t="shared" ref="N18:N24" si="14">I18/D18</f>
        <v>1</v>
      </c>
      <c r="O18" s="435">
        <f t="shared" ref="O18:O24" si="15">B18/E18</f>
        <v>1</v>
      </c>
      <c r="P18" s="435">
        <f t="shared" ref="P18:Q24" si="16">C18/F18</f>
        <v>1</v>
      </c>
      <c r="Q18" s="436">
        <f t="shared" si="16"/>
        <v>1</v>
      </c>
    </row>
    <row r="19" spans="1:18" ht="15.75" x14ac:dyDescent="0.25">
      <c r="A19" s="578" t="s">
        <v>4</v>
      </c>
      <c r="B19" s="441">
        <v>1</v>
      </c>
      <c r="C19" s="442">
        <v>1</v>
      </c>
      <c r="D19" s="442">
        <v>1</v>
      </c>
      <c r="E19" s="431">
        <v>1</v>
      </c>
      <c r="F19" s="432">
        <v>1</v>
      </c>
      <c r="G19" s="432">
        <v>1</v>
      </c>
      <c r="H19" s="432">
        <v>1</v>
      </c>
      <c r="I19" s="433">
        <v>1</v>
      </c>
      <c r="J19" s="434">
        <f t="shared" ref="J19:M22" si="17">F19/E19</f>
        <v>1</v>
      </c>
      <c r="K19" s="435">
        <f t="shared" si="17"/>
        <v>1</v>
      </c>
      <c r="L19" s="435">
        <f t="shared" si="17"/>
        <v>1</v>
      </c>
      <c r="M19" s="436">
        <f t="shared" si="17"/>
        <v>1</v>
      </c>
      <c r="N19" s="437">
        <f t="shared" si="14"/>
        <v>1</v>
      </c>
      <c r="O19" s="435">
        <f t="shared" si="15"/>
        <v>1</v>
      </c>
      <c r="P19" s="435">
        <f t="shared" ref="P19:Q22" si="18">C19/F19</f>
        <v>1</v>
      </c>
      <c r="Q19" s="436">
        <f t="shared" si="18"/>
        <v>1</v>
      </c>
    </row>
    <row r="20" spans="1:18" ht="15.75" x14ac:dyDescent="0.25">
      <c r="A20" s="578" t="s">
        <v>161</v>
      </c>
      <c r="B20" s="441">
        <v>1</v>
      </c>
      <c r="C20" s="442">
        <v>1</v>
      </c>
      <c r="D20" s="442">
        <v>1</v>
      </c>
      <c r="E20" s="431">
        <v>1</v>
      </c>
      <c r="F20" s="432">
        <v>1</v>
      </c>
      <c r="G20" s="432">
        <v>1</v>
      </c>
      <c r="H20" s="432">
        <v>1</v>
      </c>
      <c r="I20" s="433">
        <v>1</v>
      </c>
      <c r="J20" s="434">
        <f t="shared" si="17"/>
        <v>1</v>
      </c>
      <c r="K20" s="435">
        <f t="shared" si="17"/>
        <v>1</v>
      </c>
      <c r="L20" s="435">
        <f t="shared" si="17"/>
        <v>1</v>
      </c>
      <c r="M20" s="436">
        <f t="shared" si="17"/>
        <v>1</v>
      </c>
      <c r="N20" s="437">
        <f t="shared" si="14"/>
        <v>1</v>
      </c>
      <c r="O20" s="435">
        <f t="shared" si="15"/>
        <v>1</v>
      </c>
      <c r="P20" s="435">
        <f t="shared" si="18"/>
        <v>1</v>
      </c>
      <c r="Q20" s="436">
        <f t="shared" si="18"/>
        <v>1</v>
      </c>
    </row>
    <row r="21" spans="1:18" s="376" customFormat="1" ht="31.5" x14ac:dyDescent="0.25">
      <c r="A21" s="579" t="s">
        <v>162</v>
      </c>
      <c r="B21" s="441">
        <v>1</v>
      </c>
      <c r="C21" s="442">
        <v>1</v>
      </c>
      <c r="D21" s="442">
        <v>1</v>
      </c>
      <c r="E21" s="441">
        <v>1</v>
      </c>
      <c r="F21" s="442">
        <v>1</v>
      </c>
      <c r="G21" s="442">
        <v>1</v>
      </c>
      <c r="H21" s="442">
        <v>1</v>
      </c>
      <c r="I21" s="443">
        <v>1</v>
      </c>
      <c r="J21" s="444">
        <f t="shared" si="17"/>
        <v>1</v>
      </c>
      <c r="K21" s="445">
        <f t="shared" si="17"/>
        <v>1</v>
      </c>
      <c r="L21" s="445">
        <f t="shared" si="17"/>
        <v>1</v>
      </c>
      <c r="M21" s="446">
        <f t="shared" si="17"/>
        <v>1</v>
      </c>
      <c r="N21" s="446">
        <f t="shared" si="14"/>
        <v>1</v>
      </c>
      <c r="O21" s="445">
        <f t="shared" si="15"/>
        <v>1</v>
      </c>
      <c r="P21" s="445">
        <f t="shared" si="18"/>
        <v>1</v>
      </c>
      <c r="Q21" s="446">
        <f t="shared" si="18"/>
        <v>1</v>
      </c>
    </row>
    <row r="22" spans="1:18" s="376" customFormat="1" ht="15.75" x14ac:dyDescent="0.25">
      <c r="A22" s="587" t="s">
        <v>163</v>
      </c>
      <c r="B22" s="447">
        <f>PRODUCT(B18:B21)</f>
        <v>1</v>
      </c>
      <c r="C22" s="448">
        <f t="shared" ref="C22:I22" si="19">PRODUCT(C18:C21)</f>
        <v>1</v>
      </c>
      <c r="D22" s="448">
        <f t="shared" si="19"/>
        <v>1</v>
      </c>
      <c r="E22" s="447">
        <f t="shared" si="19"/>
        <v>1</v>
      </c>
      <c r="F22" s="448">
        <f t="shared" si="19"/>
        <v>1</v>
      </c>
      <c r="G22" s="448">
        <f t="shared" si="19"/>
        <v>1</v>
      </c>
      <c r="H22" s="448">
        <f t="shared" si="19"/>
        <v>1</v>
      </c>
      <c r="I22" s="449">
        <f t="shared" si="19"/>
        <v>1</v>
      </c>
      <c r="J22" s="450">
        <f t="shared" si="17"/>
        <v>1</v>
      </c>
      <c r="K22" s="451">
        <f t="shared" si="17"/>
        <v>1</v>
      </c>
      <c r="L22" s="451">
        <f t="shared" si="17"/>
        <v>1</v>
      </c>
      <c r="M22" s="452">
        <f t="shared" si="17"/>
        <v>1</v>
      </c>
      <c r="N22" s="452">
        <f t="shared" si="14"/>
        <v>1</v>
      </c>
      <c r="O22" s="451">
        <f t="shared" si="15"/>
        <v>1</v>
      </c>
      <c r="P22" s="451">
        <f t="shared" si="18"/>
        <v>1</v>
      </c>
      <c r="Q22" s="452">
        <f t="shared" si="18"/>
        <v>1</v>
      </c>
    </row>
    <row r="23" spans="1:18" ht="15.75" x14ac:dyDescent="0.25">
      <c r="A23" s="430" t="s">
        <v>164</v>
      </c>
      <c r="B23" s="431">
        <v>1</v>
      </c>
      <c r="C23" s="432">
        <v>1</v>
      </c>
      <c r="D23" s="432">
        <v>1</v>
      </c>
      <c r="E23" s="431">
        <v>1</v>
      </c>
      <c r="F23" s="432">
        <v>1</v>
      </c>
      <c r="G23" s="432">
        <v>1</v>
      </c>
      <c r="H23" s="432">
        <v>1</v>
      </c>
      <c r="I23" s="433">
        <v>1</v>
      </c>
      <c r="J23" s="434">
        <f t="shared" si="13"/>
        <v>1</v>
      </c>
      <c r="K23" s="435">
        <f t="shared" si="13"/>
        <v>1</v>
      </c>
      <c r="L23" s="435">
        <f t="shared" si="13"/>
        <v>1</v>
      </c>
      <c r="M23" s="436">
        <f t="shared" si="13"/>
        <v>1</v>
      </c>
      <c r="N23" s="437">
        <f t="shared" si="14"/>
        <v>1</v>
      </c>
      <c r="O23" s="435">
        <f t="shared" si="15"/>
        <v>1</v>
      </c>
      <c r="P23" s="435">
        <f t="shared" si="16"/>
        <v>1</v>
      </c>
      <c r="Q23" s="436">
        <f t="shared" si="16"/>
        <v>1</v>
      </c>
    </row>
    <row r="24" spans="1:18" ht="15.75" x14ac:dyDescent="0.25">
      <c r="A24" s="453" t="s">
        <v>165</v>
      </c>
      <c r="B24" s="454">
        <v>1</v>
      </c>
      <c r="C24" s="455">
        <v>1</v>
      </c>
      <c r="D24" s="455">
        <v>1</v>
      </c>
      <c r="E24" s="454">
        <v>1</v>
      </c>
      <c r="F24" s="455">
        <v>1</v>
      </c>
      <c r="G24" s="455">
        <v>1</v>
      </c>
      <c r="H24" s="455">
        <v>1</v>
      </c>
      <c r="I24" s="456">
        <v>1</v>
      </c>
      <c r="J24" s="457">
        <f t="shared" si="13"/>
        <v>1</v>
      </c>
      <c r="K24" s="458">
        <f t="shared" si="13"/>
        <v>1</v>
      </c>
      <c r="L24" s="458">
        <f t="shared" si="13"/>
        <v>1</v>
      </c>
      <c r="M24" s="459">
        <f t="shared" si="13"/>
        <v>1</v>
      </c>
      <c r="N24" s="460">
        <f t="shared" si="14"/>
        <v>1</v>
      </c>
      <c r="O24" s="458">
        <f t="shared" si="15"/>
        <v>1</v>
      </c>
      <c r="P24" s="458">
        <f t="shared" si="16"/>
        <v>1</v>
      </c>
      <c r="Q24" s="459">
        <f t="shared" si="16"/>
        <v>1</v>
      </c>
    </row>
    <row r="26" spans="1:18" x14ac:dyDescent="0.25">
      <c r="A26" s="57"/>
      <c r="B26" s="60"/>
    </row>
    <row r="28" spans="1:18" ht="21" x14ac:dyDescent="0.35">
      <c r="A28" s="131" t="s">
        <v>49</v>
      </c>
      <c r="B28" s="131"/>
      <c r="C28" s="131"/>
      <c r="D28" s="134"/>
      <c r="E28" s="131"/>
    </row>
    <row r="29" spans="1:18" ht="15.75" x14ac:dyDescent="0.25">
      <c r="A29" s="82"/>
      <c r="B29" s="82"/>
      <c r="C29" s="82"/>
      <c r="D29" s="82"/>
      <c r="E29" s="82"/>
      <c r="F29" s="82"/>
      <c r="G29" s="82"/>
      <c r="H29" s="82"/>
      <c r="I29" s="82"/>
      <c r="J29" s="82"/>
      <c r="K29" s="82"/>
      <c r="L29" s="82"/>
      <c r="M29" s="82"/>
      <c r="N29" s="82"/>
      <c r="O29" s="82"/>
      <c r="P29" s="82"/>
    </row>
    <row r="30" spans="1:18" ht="15.75" x14ac:dyDescent="0.25">
      <c r="A30" s="600"/>
      <c r="B30" s="601"/>
      <c r="C30" s="601"/>
      <c r="D30" s="601"/>
      <c r="E30" s="601"/>
      <c r="F30" s="601"/>
      <c r="G30" s="601"/>
      <c r="H30" s="601"/>
      <c r="I30" s="601"/>
      <c r="J30" s="601"/>
      <c r="K30" s="601"/>
      <c r="L30" s="601"/>
      <c r="M30" s="601"/>
      <c r="N30" s="601"/>
      <c r="O30" s="601"/>
      <c r="P30" s="601"/>
      <c r="Q30" s="601"/>
      <c r="R30" s="601"/>
    </row>
    <row r="31" spans="1:18" ht="15.75" x14ac:dyDescent="0.25">
      <c r="A31" s="600"/>
      <c r="B31" s="601"/>
      <c r="C31" s="601"/>
      <c r="D31" s="601"/>
      <c r="E31" s="601"/>
      <c r="F31" s="601"/>
      <c r="G31" s="601"/>
      <c r="H31" s="601"/>
      <c r="I31" s="601"/>
      <c r="J31" s="601"/>
      <c r="K31" s="601"/>
      <c r="L31" s="601"/>
      <c r="M31" s="601"/>
      <c r="N31" s="601"/>
      <c r="O31" s="601"/>
      <c r="P31" s="601"/>
      <c r="Q31" s="601"/>
      <c r="R31" s="601"/>
    </row>
    <row r="32" spans="1:18" ht="15.75" x14ac:dyDescent="0.25">
      <c r="A32" s="600"/>
      <c r="B32" s="601"/>
      <c r="C32" s="601"/>
      <c r="D32" s="601"/>
      <c r="E32" s="601"/>
      <c r="F32" s="601"/>
      <c r="G32" s="601"/>
      <c r="H32" s="601"/>
      <c r="I32" s="601"/>
      <c r="J32" s="601"/>
      <c r="K32" s="601"/>
      <c r="L32" s="601"/>
      <c r="M32" s="601"/>
      <c r="N32" s="601"/>
      <c r="O32" s="601"/>
      <c r="P32" s="601"/>
      <c r="Q32" s="601"/>
      <c r="R32" s="601"/>
    </row>
    <row r="33" spans="1:18" ht="15.75" x14ac:dyDescent="0.25">
      <c r="A33" s="600"/>
      <c r="B33" s="601"/>
      <c r="C33" s="601"/>
      <c r="D33" s="601"/>
      <c r="E33" s="601"/>
      <c r="F33" s="601"/>
      <c r="G33" s="601"/>
      <c r="H33" s="601"/>
      <c r="I33" s="601"/>
      <c r="J33" s="601"/>
      <c r="K33" s="601"/>
      <c r="L33" s="601"/>
      <c r="M33" s="601"/>
      <c r="N33" s="601"/>
      <c r="O33" s="601"/>
      <c r="P33" s="601"/>
      <c r="Q33" s="601"/>
      <c r="R33" s="601"/>
    </row>
    <row r="34" spans="1:18" ht="15.75" x14ac:dyDescent="0.25">
      <c r="A34" s="600"/>
      <c r="B34" s="601"/>
      <c r="C34" s="601"/>
      <c r="D34" s="601"/>
      <c r="E34" s="601"/>
      <c r="F34" s="601"/>
      <c r="G34" s="601"/>
      <c r="H34" s="601"/>
      <c r="I34" s="601"/>
      <c r="J34" s="601"/>
      <c r="K34" s="601"/>
      <c r="L34" s="601"/>
      <c r="M34" s="601"/>
      <c r="N34" s="601"/>
      <c r="O34" s="601"/>
      <c r="P34" s="601"/>
      <c r="Q34" s="601"/>
      <c r="R34" s="601"/>
    </row>
    <row r="35" spans="1:18" ht="15.75" x14ac:dyDescent="0.25">
      <c r="A35" s="600"/>
      <c r="B35" s="601"/>
      <c r="C35" s="601"/>
      <c r="D35" s="601"/>
      <c r="E35" s="601"/>
      <c r="F35" s="601"/>
      <c r="G35" s="601"/>
      <c r="H35" s="601"/>
      <c r="I35" s="601"/>
      <c r="J35" s="601"/>
      <c r="K35" s="601"/>
      <c r="L35" s="601"/>
      <c r="M35" s="601"/>
      <c r="N35" s="601"/>
      <c r="O35" s="601"/>
      <c r="P35" s="601"/>
      <c r="Q35" s="601"/>
      <c r="R35" s="601"/>
    </row>
    <row r="36" spans="1:18" ht="15.75" x14ac:dyDescent="0.25">
      <c r="A36" s="600"/>
      <c r="B36" s="601"/>
      <c r="C36" s="601"/>
      <c r="D36" s="601"/>
      <c r="E36" s="601"/>
      <c r="F36" s="601"/>
      <c r="G36" s="601"/>
      <c r="H36" s="601"/>
      <c r="I36" s="601"/>
      <c r="J36" s="601"/>
      <c r="K36" s="601"/>
      <c r="L36" s="601"/>
      <c r="M36" s="601"/>
      <c r="N36" s="601"/>
      <c r="O36" s="601"/>
      <c r="P36" s="601"/>
      <c r="Q36" s="601"/>
      <c r="R36" s="601"/>
    </row>
    <row r="37" spans="1:18" ht="15.75" x14ac:dyDescent="0.25">
      <c r="A37" s="600"/>
      <c r="B37" s="601"/>
      <c r="C37" s="601"/>
      <c r="D37" s="601"/>
      <c r="E37" s="601"/>
      <c r="F37" s="601"/>
      <c r="G37" s="601"/>
      <c r="H37" s="601"/>
      <c r="I37" s="601"/>
      <c r="J37" s="601"/>
      <c r="K37" s="601"/>
      <c r="L37" s="601"/>
      <c r="M37" s="601"/>
      <c r="N37" s="601"/>
      <c r="O37" s="601"/>
      <c r="P37" s="601"/>
      <c r="Q37" s="601"/>
      <c r="R37" s="601"/>
    </row>
    <row r="38" spans="1:18" ht="15.75" x14ac:dyDescent="0.25">
      <c r="A38" s="600"/>
      <c r="B38" s="601"/>
      <c r="C38" s="601"/>
      <c r="D38" s="601"/>
      <c r="E38" s="601"/>
      <c r="F38" s="601"/>
      <c r="G38" s="601"/>
      <c r="H38" s="601"/>
      <c r="I38" s="601"/>
      <c r="J38" s="601"/>
      <c r="K38" s="601"/>
      <c r="L38" s="601"/>
      <c r="M38" s="601"/>
      <c r="N38" s="601"/>
      <c r="O38" s="601"/>
      <c r="P38" s="601"/>
      <c r="Q38" s="601"/>
      <c r="R38" s="601"/>
    </row>
    <row r="39" spans="1:18" ht="15.75" x14ac:dyDescent="0.25">
      <c r="A39" s="600"/>
      <c r="B39" s="601"/>
      <c r="C39" s="601"/>
      <c r="D39" s="601"/>
      <c r="E39" s="601"/>
      <c r="F39" s="601"/>
      <c r="G39" s="601"/>
      <c r="H39" s="601"/>
      <c r="I39" s="601"/>
      <c r="J39" s="601"/>
      <c r="K39" s="601"/>
      <c r="L39" s="601"/>
      <c r="M39" s="601"/>
      <c r="N39" s="601"/>
      <c r="O39" s="601"/>
      <c r="P39" s="601"/>
      <c r="Q39" s="601"/>
      <c r="R39" s="601"/>
    </row>
  </sheetData>
  <mergeCells count="15">
    <mergeCell ref="A31:R31"/>
    <mergeCell ref="N8:N9"/>
    <mergeCell ref="A30:R30"/>
    <mergeCell ref="B3:Q3"/>
    <mergeCell ref="B4:Q4"/>
    <mergeCell ref="B5:Q5"/>
    <mergeCell ref="B6:Q6"/>
    <mergeCell ref="A38:R38"/>
    <mergeCell ref="A39:R39"/>
    <mergeCell ref="A32:R32"/>
    <mergeCell ref="A33:R33"/>
    <mergeCell ref="A34:R34"/>
    <mergeCell ref="A35:R35"/>
    <mergeCell ref="A36:R36"/>
    <mergeCell ref="A37:R37"/>
  </mergeCells>
  <printOptions horizontalCentered="1"/>
  <pageMargins left="0.25" right="0.25" top="0.75" bottom="0.75" header="0.25" footer="0.25"/>
  <pageSetup scale="57" orientation="landscape" horizontalDpi="1200" verticalDpi="1200" r:id="rId1"/>
  <headerFooter>
    <oddFooter>&amp;L2026 IND &amp;&amp; SG ACA MEDICAL RATE FILINGS -- COMMON EXHIBITS&amp;R03/21/2025</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802A0-899C-402E-A243-8E4C3BCCC0AE}">
  <sheetPr>
    <tabColor theme="9" tint="-0.499984740745262"/>
    <pageSetUpPr fitToPage="1"/>
  </sheetPr>
  <dimension ref="A1:M25"/>
  <sheetViews>
    <sheetView showGridLines="0" zoomScale="70" zoomScaleNormal="70" workbookViewId="0">
      <pane xSplit="1" ySplit="9" topLeftCell="B10" activePane="bottomRight" state="frozen"/>
      <selection pane="topRight"/>
      <selection pane="bottomLeft"/>
      <selection pane="bottomRight"/>
    </sheetView>
  </sheetViews>
  <sheetFormatPr defaultColWidth="20.42578125" defaultRowHeight="15" x14ac:dyDescent="0.25"/>
  <cols>
    <col min="1" max="1" width="33.28515625" customWidth="1"/>
    <col min="4" max="4" width="20.85546875" customWidth="1"/>
    <col min="5" max="5" width="13.7109375" customWidth="1"/>
    <col min="6" max="6" width="15.28515625" customWidth="1"/>
    <col min="8" max="8" width="14.42578125" customWidth="1"/>
    <col min="11" max="11" width="19" customWidth="1"/>
    <col min="14" max="14" width="3.42578125" customWidth="1"/>
  </cols>
  <sheetData>
    <row r="1" spans="1:13" s="376" customFormat="1" ht="26.25" x14ac:dyDescent="0.25">
      <c r="A1" s="381" t="s">
        <v>298</v>
      </c>
      <c r="F1" s="486"/>
      <c r="G1"/>
      <c r="H1"/>
      <c r="I1"/>
      <c r="J1"/>
      <c r="K1"/>
      <c r="L1"/>
      <c r="M1"/>
    </row>
    <row r="2" spans="1:13" x14ac:dyDescent="0.25">
      <c r="A2" s="261"/>
    </row>
    <row r="3" spans="1:13" ht="18.75" x14ac:dyDescent="0.3">
      <c r="A3" s="98" t="s">
        <v>10</v>
      </c>
      <c r="B3" s="599" t="str">
        <f>CarrierName</f>
        <v>ABC Company</v>
      </c>
      <c r="C3" s="599"/>
      <c r="D3" s="599"/>
      <c r="E3" s="599"/>
      <c r="F3" s="599"/>
      <c r="G3" s="599"/>
      <c r="H3" s="599"/>
      <c r="I3" s="599"/>
      <c r="J3" s="599"/>
      <c r="K3" s="599"/>
      <c r="L3" s="599"/>
      <c r="M3" s="599"/>
    </row>
    <row r="4" spans="1:13" ht="18.75" x14ac:dyDescent="0.3">
      <c r="A4" s="98" t="s">
        <v>0</v>
      </c>
      <c r="B4" s="599" t="str">
        <f>Market</f>
        <v>Individual</v>
      </c>
      <c r="C4" s="599"/>
      <c r="D4" s="599"/>
      <c r="E4" s="599"/>
      <c r="F4" s="599"/>
      <c r="G4" s="599"/>
      <c r="H4" s="599"/>
      <c r="I4" s="599"/>
      <c r="J4" s="599"/>
      <c r="K4" s="599"/>
      <c r="L4" s="599"/>
      <c r="M4" s="599"/>
    </row>
    <row r="5" spans="1:13" ht="18.75" x14ac:dyDescent="0.3">
      <c r="A5" s="98" t="s">
        <v>12</v>
      </c>
      <c r="B5" s="599">
        <f>PlanYear</f>
        <v>2026</v>
      </c>
      <c r="C5" s="599"/>
      <c r="D5" s="599"/>
      <c r="E5" s="599"/>
      <c r="F5" s="599"/>
      <c r="G5" s="599"/>
      <c r="H5" s="599"/>
      <c r="I5" s="599"/>
      <c r="J5" s="599"/>
      <c r="K5" s="599"/>
      <c r="L5" s="599"/>
      <c r="M5" s="599"/>
    </row>
    <row r="6" spans="1:13" ht="18.75" x14ac:dyDescent="0.3">
      <c r="A6" s="98" t="s">
        <v>13</v>
      </c>
      <c r="B6" s="599">
        <f>ExperYear</f>
        <v>2024</v>
      </c>
      <c r="C6" s="599"/>
      <c r="D6" s="599"/>
      <c r="E6" s="599"/>
      <c r="F6" s="599"/>
      <c r="G6" s="599"/>
      <c r="H6" s="599"/>
      <c r="I6" s="599"/>
      <c r="J6" s="599"/>
      <c r="K6" s="599"/>
      <c r="L6" s="599"/>
      <c r="M6" s="599"/>
    </row>
    <row r="7" spans="1:13" x14ac:dyDescent="0.25">
      <c r="A7" s="261"/>
    </row>
    <row r="8" spans="1:13" ht="18.75" x14ac:dyDescent="0.3">
      <c r="A8" s="427" t="s">
        <v>254</v>
      </c>
      <c r="F8" s="428" t="s">
        <v>291</v>
      </c>
      <c r="G8" s="429"/>
      <c r="H8" s="429"/>
      <c r="I8" s="429"/>
      <c r="J8" s="429"/>
      <c r="K8" s="429"/>
      <c r="L8" s="429"/>
      <c r="M8" s="429"/>
    </row>
    <row r="9" spans="1:13" s="375" customFormat="1" ht="69.75" customHeight="1" x14ac:dyDescent="0.25">
      <c r="A9" s="479" t="s">
        <v>166</v>
      </c>
      <c r="B9" s="479" t="s">
        <v>3</v>
      </c>
      <c r="C9" s="479" t="s">
        <v>257</v>
      </c>
      <c r="D9" s="479" t="s">
        <v>258</v>
      </c>
      <c r="E9" s="479" t="s">
        <v>266</v>
      </c>
      <c r="F9" s="479" t="s">
        <v>106</v>
      </c>
      <c r="G9" s="479" t="s">
        <v>26</v>
      </c>
      <c r="H9" s="479" t="s">
        <v>168</v>
      </c>
      <c r="I9" s="479" t="s">
        <v>242</v>
      </c>
      <c r="J9" s="479" t="s">
        <v>256</v>
      </c>
      <c r="K9" s="479" t="s">
        <v>249</v>
      </c>
      <c r="L9" s="479" t="s">
        <v>169</v>
      </c>
      <c r="M9" s="480" t="s">
        <v>170</v>
      </c>
    </row>
    <row r="10" spans="1:13" ht="15.75" x14ac:dyDescent="0.25">
      <c r="A10" s="82" t="s">
        <v>267</v>
      </c>
      <c r="B10" s="82" t="s">
        <v>7</v>
      </c>
      <c r="C10" s="82" t="s">
        <v>260</v>
      </c>
      <c r="D10" s="82" t="s">
        <v>240</v>
      </c>
      <c r="E10" s="481"/>
      <c r="F10" s="482"/>
      <c r="G10" s="483"/>
      <c r="H10" s="483"/>
      <c r="I10" s="484" t="e">
        <f>tbl_Exh7[[#This Row],[Paid Claims]]/tbl_Exh7[[#This Row],[Allowed Claims]]</f>
        <v>#DIV/0!</v>
      </c>
      <c r="J10" s="483"/>
      <c r="K10" s="484" t="e">
        <f>(tbl_Exh7[[#This Row],[Paid Claims]]-tbl_Exh7[[#This Row],[CSR Paid Claims]])/tbl_Exh7[[#This Row],[Allowed Claims]]</f>
        <v>#DIV/0!</v>
      </c>
      <c r="L10" s="483"/>
      <c r="M10" s="485" t="str">
        <f>IF(tbl_Exh7[[#This Row],[CSR Paid Claims]]&gt;0,tbl_Exh7[[#This Row],[APTC Payments]]-tbl_Exh7[[#This Row],[CSR Paid Claims]],"")</f>
        <v/>
      </c>
    </row>
    <row r="11" spans="1:13" ht="15.75" x14ac:dyDescent="0.25">
      <c r="A11" s="570"/>
      <c r="B11" s="570" t="s">
        <v>8</v>
      </c>
      <c r="C11" s="570" t="s">
        <v>265</v>
      </c>
      <c r="D11" s="570" t="s">
        <v>238</v>
      </c>
      <c r="E11" s="571"/>
      <c r="F11" s="572"/>
      <c r="G11" s="573"/>
      <c r="H11" s="573"/>
      <c r="I11" s="484" t="e">
        <f>tbl_Exh7[[#This Row],[Paid Claims]]/tbl_Exh7[[#This Row],[Allowed Claims]]</f>
        <v>#DIV/0!</v>
      </c>
      <c r="J11" s="573"/>
      <c r="K11" s="484" t="e">
        <f>(tbl_Exh7[[#This Row],[Paid Claims]]-tbl_Exh7[[#This Row],[CSR Paid Claims]])/tbl_Exh7[[#This Row],[Allowed Claims]]</f>
        <v>#DIV/0!</v>
      </c>
      <c r="L11" s="573"/>
      <c r="M11" s="485" t="str">
        <f>IF(tbl_Exh7[[#This Row],[CSR Paid Claims]]&gt;0,tbl_Exh7[[#This Row],[APTC Payments]]-tbl_Exh7[[#This Row],[CSR Paid Claims]],"")</f>
        <v/>
      </c>
    </row>
    <row r="12" spans="1:13" ht="15.75" x14ac:dyDescent="0.25">
      <c r="A12" s="82"/>
      <c r="B12" s="82" t="s">
        <v>6</v>
      </c>
      <c r="C12" s="82" t="s">
        <v>264</v>
      </c>
      <c r="D12" s="82" t="s">
        <v>239</v>
      </c>
      <c r="E12" s="481"/>
      <c r="F12" s="482"/>
      <c r="G12" s="483"/>
      <c r="H12" s="483"/>
      <c r="I12" s="484" t="e">
        <f>tbl_Exh7[[#This Row],[Paid Claims]]/tbl_Exh7[[#This Row],[Allowed Claims]]</f>
        <v>#DIV/0!</v>
      </c>
      <c r="J12" s="483"/>
      <c r="K12" s="484" t="e">
        <f>(tbl_Exh7[[#This Row],[Paid Claims]]-tbl_Exh7[[#This Row],[CSR Paid Claims]])/tbl_Exh7[[#This Row],[Allowed Claims]]</f>
        <v>#DIV/0!</v>
      </c>
      <c r="L12" s="483"/>
      <c r="M12" s="485" t="str">
        <f>IF(tbl_Exh7[[#This Row],[CSR Paid Claims]]&gt;0,tbl_Exh7[[#This Row],[APTC Payments]]-tbl_Exh7[[#This Row],[CSR Paid Claims]],"")</f>
        <v/>
      </c>
    </row>
    <row r="14" spans="1:13" x14ac:dyDescent="0.25">
      <c r="A14" s="57"/>
      <c r="B14" s="60"/>
    </row>
    <row r="16" spans="1:13" ht="21.75" thickBot="1" x14ac:dyDescent="0.4">
      <c r="A16" s="131" t="s">
        <v>49</v>
      </c>
      <c r="B16" s="131"/>
      <c r="C16" s="131"/>
      <c r="D16" s="134"/>
      <c r="E16" s="131"/>
    </row>
    <row r="17" spans="1:13" ht="16.5" thickTop="1" x14ac:dyDescent="0.25">
      <c r="A17" s="82"/>
      <c r="B17" s="82"/>
      <c r="C17" s="82"/>
      <c r="D17" s="82"/>
      <c r="E17" s="82"/>
      <c r="F17" s="82"/>
      <c r="G17" s="82"/>
      <c r="H17" s="82"/>
      <c r="I17" s="82"/>
      <c r="J17" s="82"/>
      <c r="K17" s="82"/>
      <c r="L17" s="82"/>
      <c r="M17" s="82"/>
    </row>
    <row r="18" spans="1:13" ht="15.75" x14ac:dyDescent="0.25">
      <c r="A18" s="600"/>
      <c r="B18" s="601"/>
      <c r="C18" s="601"/>
      <c r="D18" s="601"/>
      <c r="E18" s="601"/>
      <c r="F18" s="601"/>
      <c r="G18" s="601"/>
      <c r="H18" s="601"/>
      <c r="I18" s="601"/>
      <c r="J18" s="601"/>
      <c r="K18" s="601"/>
      <c r="L18" s="601"/>
      <c r="M18" s="601"/>
    </row>
    <row r="19" spans="1:13" ht="15.75" x14ac:dyDescent="0.25">
      <c r="A19" s="600"/>
      <c r="B19" s="601"/>
      <c r="C19" s="601"/>
      <c r="D19" s="601"/>
      <c r="E19" s="601"/>
      <c r="F19" s="601"/>
      <c r="G19" s="601"/>
      <c r="H19" s="601"/>
      <c r="I19" s="601"/>
      <c r="J19" s="601"/>
      <c r="K19" s="601"/>
      <c r="L19" s="601"/>
      <c r="M19" s="601"/>
    </row>
    <row r="20" spans="1:13" ht="15.75" x14ac:dyDescent="0.25">
      <c r="A20" s="600"/>
      <c r="B20" s="601"/>
      <c r="C20" s="601"/>
      <c r="D20" s="601"/>
      <c r="E20" s="601"/>
      <c r="F20" s="601"/>
      <c r="G20" s="601"/>
      <c r="H20" s="601"/>
      <c r="I20" s="601"/>
      <c r="J20" s="601"/>
      <c r="K20" s="601"/>
      <c r="L20" s="601"/>
      <c r="M20" s="601"/>
    </row>
    <row r="21" spans="1:13" ht="15.75" x14ac:dyDescent="0.25">
      <c r="A21" s="600"/>
      <c r="B21" s="601"/>
      <c r="C21" s="601"/>
      <c r="D21" s="601"/>
      <c r="E21" s="601"/>
      <c r="F21" s="601"/>
      <c r="G21" s="601"/>
      <c r="H21" s="601"/>
      <c r="I21" s="601"/>
      <c r="J21" s="601"/>
      <c r="K21" s="601"/>
      <c r="L21" s="601"/>
      <c r="M21" s="601"/>
    </row>
    <row r="22" spans="1:13" ht="15.75" x14ac:dyDescent="0.25">
      <c r="A22" s="600"/>
      <c r="B22" s="601"/>
      <c r="C22" s="601"/>
      <c r="D22" s="601"/>
      <c r="E22" s="601"/>
      <c r="F22" s="601"/>
      <c r="G22" s="601"/>
      <c r="H22" s="601"/>
      <c r="I22" s="601"/>
      <c r="J22" s="601"/>
      <c r="K22" s="601"/>
      <c r="L22" s="601"/>
      <c r="M22" s="601"/>
    </row>
    <row r="23" spans="1:13" ht="15.75" x14ac:dyDescent="0.25">
      <c r="A23" s="600"/>
      <c r="B23" s="601"/>
      <c r="C23" s="601"/>
      <c r="D23" s="601"/>
      <c r="E23" s="601"/>
      <c r="F23" s="601"/>
      <c r="G23" s="601"/>
      <c r="H23" s="601"/>
      <c r="I23" s="601"/>
      <c r="J23" s="601"/>
      <c r="K23" s="601"/>
      <c r="L23" s="601"/>
      <c r="M23" s="601"/>
    </row>
    <row r="24" spans="1:13" ht="15.75" x14ac:dyDescent="0.25">
      <c r="A24" s="600"/>
      <c r="B24" s="601"/>
      <c r="C24" s="601"/>
      <c r="D24" s="601"/>
      <c r="E24" s="601"/>
      <c r="F24" s="601"/>
      <c r="G24" s="601"/>
      <c r="H24" s="601"/>
      <c r="I24" s="601"/>
      <c r="J24" s="601"/>
      <c r="K24" s="601"/>
      <c r="L24" s="601"/>
      <c r="M24" s="601"/>
    </row>
    <row r="25" spans="1:13" ht="15.75" x14ac:dyDescent="0.25">
      <c r="A25" s="600"/>
      <c r="B25" s="601"/>
      <c r="C25" s="601"/>
      <c r="D25" s="601"/>
      <c r="E25" s="601"/>
      <c r="F25" s="601"/>
      <c r="G25" s="601"/>
      <c r="H25" s="601"/>
      <c r="I25" s="601"/>
      <c r="J25" s="601"/>
      <c r="K25" s="601"/>
      <c r="L25" s="601"/>
      <c r="M25" s="601"/>
    </row>
  </sheetData>
  <mergeCells count="12">
    <mergeCell ref="B3:M3"/>
    <mergeCell ref="B4:M4"/>
    <mergeCell ref="B5:M5"/>
    <mergeCell ref="B6:M6"/>
    <mergeCell ref="A25:M25"/>
    <mergeCell ref="A19:M19"/>
    <mergeCell ref="A18:M18"/>
    <mergeCell ref="A20:M20"/>
    <mergeCell ref="A21:M21"/>
    <mergeCell ref="A22:M22"/>
    <mergeCell ref="A23:M23"/>
    <mergeCell ref="A24:M24"/>
  </mergeCells>
  <printOptions horizontalCentered="1"/>
  <pageMargins left="0.25" right="0.25" top="0.75" bottom="0.75" header="0.25" footer="0.25"/>
  <pageSetup scale="52" orientation="landscape" horizontalDpi="1200" verticalDpi="1200" r:id="rId1"/>
  <headerFooter>
    <oddFooter>&amp;L2026 IND &amp;&amp; SG ACA MEDICAL RATE FILINGS -- COMMON EXHIBITS&amp;R03/21/2025</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DC6628E-B7CB-4C49-A45E-B5B9E59C42F7}">
          <x14:formula1>
            <xm:f>Lookups!$A$14:$A$17</xm:f>
          </x14:formula1>
          <xm:sqref>D10:E12</xm:sqref>
        </x14:dataValidation>
        <x14:dataValidation type="list" allowBlank="1" showInputMessage="1" showErrorMessage="1" xr:uid="{B674187B-6653-459A-ACDD-FD7B858DDC79}">
          <x14:formula1>
            <xm:f>Lookups!$A$6:$A$10</xm:f>
          </x14:formula1>
          <xm:sqref>B10:B12</xm:sqref>
        </x14:dataValidation>
        <x14:dataValidation type="list" allowBlank="1" showInputMessage="1" showErrorMessage="1" xr:uid="{1116AD09-4B63-4F14-9C41-E8D879FA776D}">
          <x14:formula1>
            <xm:f>Lookups!$A$20:$A$25</xm:f>
          </x14:formula1>
          <xm:sqref>C10:C12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D539-3EB2-4ABD-B3C3-DEA13E426F1C}">
  <sheetPr>
    <tabColor theme="9" tint="-0.499984740745262"/>
    <pageSetUpPr fitToPage="1"/>
  </sheetPr>
  <dimension ref="A1:L34"/>
  <sheetViews>
    <sheetView showGridLines="0" zoomScale="70" zoomScaleNormal="70" workbookViewId="0">
      <pane xSplit="1" ySplit="9" topLeftCell="B10" activePane="bottomRight" state="frozen"/>
      <selection pane="topRight"/>
      <selection pane="bottomLeft"/>
      <selection pane="bottomRight"/>
    </sheetView>
  </sheetViews>
  <sheetFormatPr defaultColWidth="20.42578125" defaultRowHeight="15" x14ac:dyDescent="0.25"/>
  <cols>
    <col min="1" max="1" width="32.42578125" customWidth="1"/>
    <col min="2" max="2" width="12.140625" customWidth="1"/>
    <col min="3" max="3" width="23.7109375" bestFit="1" customWidth="1"/>
    <col min="4" max="4" width="11.42578125" customWidth="1"/>
    <col min="5" max="5" width="13.28515625" customWidth="1"/>
    <col min="6" max="9" width="11.28515625" customWidth="1"/>
    <col min="10" max="10" width="22.5703125" customWidth="1"/>
    <col min="13" max="13" width="2.140625" customWidth="1"/>
    <col min="14" max="14" width="124.85546875" customWidth="1"/>
  </cols>
  <sheetData>
    <row r="1" spans="1:12" ht="26.25" x14ac:dyDescent="0.4">
      <c r="A1" s="272" t="s">
        <v>282</v>
      </c>
    </row>
    <row r="2" spans="1:12" x14ac:dyDescent="0.25">
      <c r="A2" s="261"/>
    </row>
    <row r="3" spans="1:12" ht="18.75" x14ac:dyDescent="0.3">
      <c r="A3" s="98" t="s">
        <v>10</v>
      </c>
      <c r="B3" s="617" t="str">
        <f>CarrierName</f>
        <v>ABC Company</v>
      </c>
      <c r="C3" s="618"/>
      <c r="D3" s="618"/>
      <c r="E3" s="618"/>
      <c r="F3" s="619"/>
      <c r="G3" s="619"/>
      <c r="H3" s="619"/>
      <c r="I3" s="619"/>
      <c r="J3" s="619"/>
      <c r="K3" s="619"/>
      <c r="L3" s="620"/>
    </row>
    <row r="4" spans="1:12" ht="18.75" x14ac:dyDescent="0.3">
      <c r="A4" s="98" t="s">
        <v>0</v>
      </c>
      <c r="B4" s="617" t="str">
        <f>Market</f>
        <v>Individual</v>
      </c>
      <c r="C4" s="618"/>
      <c r="D4" s="618"/>
      <c r="E4" s="618"/>
      <c r="F4" s="619"/>
      <c r="G4" s="619"/>
      <c r="H4" s="619"/>
      <c r="I4" s="619"/>
      <c r="J4" s="619"/>
      <c r="K4" s="619"/>
      <c r="L4" s="620"/>
    </row>
    <row r="5" spans="1:12" ht="18.75" x14ac:dyDescent="0.3">
      <c r="A5" s="98" t="s">
        <v>12</v>
      </c>
      <c r="B5" s="617">
        <f>PlanYear</f>
        <v>2026</v>
      </c>
      <c r="C5" s="618"/>
      <c r="D5" s="618"/>
      <c r="E5" s="618"/>
      <c r="F5" s="619"/>
      <c r="G5" s="619"/>
      <c r="H5" s="619"/>
      <c r="I5" s="619"/>
      <c r="J5" s="619"/>
      <c r="K5" s="619"/>
      <c r="L5" s="620"/>
    </row>
    <row r="6" spans="1:12" ht="18.75" x14ac:dyDescent="0.3">
      <c r="A6" s="98" t="s">
        <v>13</v>
      </c>
      <c r="B6" s="617">
        <f>ExperYear</f>
        <v>2024</v>
      </c>
      <c r="C6" s="618"/>
      <c r="D6" s="618"/>
      <c r="E6" s="618"/>
      <c r="F6" s="619"/>
      <c r="G6" s="619"/>
      <c r="H6" s="619"/>
      <c r="I6" s="619"/>
      <c r="J6" s="619"/>
      <c r="K6" s="619"/>
      <c r="L6" s="620"/>
    </row>
    <row r="7" spans="1:12" x14ac:dyDescent="0.25">
      <c r="A7" s="261"/>
    </row>
    <row r="9" spans="1:12" s="375" customFormat="1" ht="104.25" customHeight="1" x14ac:dyDescent="0.25">
      <c r="A9" s="479" t="s">
        <v>166</v>
      </c>
      <c r="B9" s="479" t="s">
        <v>3</v>
      </c>
      <c r="C9" s="479" t="s">
        <v>258</v>
      </c>
      <c r="D9" s="479" t="s">
        <v>271</v>
      </c>
      <c r="E9" s="479" t="s">
        <v>301</v>
      </c>
      <c r="F9" s="479" t="s">
        <v>167</v>
      </c>
      <c r="G9" s="479" t="s">
        <v>160</v>
      </c>
      <c r="H9" s="479" t="s">
        <v>283</v>
      </c>
      <c r="I9" s="479" t="s">
        <v>161</v>
      </c>
      <c r="J9" s="479" t="s">
        <v>302</v>
      </c>
      <c r="K9" s="479" t="s">
        <v>269</v>
      </c>
      <c r="L9" s="479" t="s">
        <v>270</v>
      </c>
    </row>
    <row r="10" spans="1:12" ht="15.75" x14ac:dyDescent="0.25">
      <c r="A10" s="82"/>
      <c r="B10" s="82" t="s">
        <v>7</v>
      </c>
      <c r="C10" s="82" t="s">
        <v>240</v>
      </c>
      <c r="D10" s="82" t="s">
        <v>272</v>
      </c>
      <c r="E10" s="82" t="s">
        <v>272</v>
      </c>
      <c r="F10" s="597">
        <v>0.7</v>
      </c>
      <c r="G10" s="597">
        <v>0.73099999999999998</v>
      </c>
      <c r="H10" s="597">
        <f>tbl_Exh9[[#This Row],[AV Pricing Value]]^2-tbl_Exh9[[#This Row],[AV Pricing Value]]+1.24</f>
        <v>1.043361</v>
      </c>
      <c r="I10" s="597">
        <v>1.4</v>
      </c>
      <c r="J10" s="487">
        <f>tbl_Exh9[[#This Row],[AV Pricing Value]]-tbl_Exh9[[#This Row],[AV Metal Value]]</f>
        <v>3.1000000000000028E-2</v>
      </c>
      <c r="K10" s="598">
        <f>tbl_Exh9[[#This Row],[AV Pricing Value]]^2-tbl_Exh9[[#This Row],[AV Pricing Value]]+1.24</f>
        <v>1.043361</v>
      </c>
      <c r="L10" s="484">
        <f>IF(AND(tbl_Exh9[[#This Row],[CSR Silver Load]]&lt;&gt;"",tbl_Exh9[[#This Row],[CSR Silver Load]]&lt;&gt;1),1.435,"")</f>
        <v>1.4350000000000001</v>
      </c>
    </row>
    <row r="11" spans="1:12" ht="15.75" x14ac:dyDescent="0.25">
      <c r="A11" s="82"/>
      <c r="B11" s="82" t="s">
        <v>7</v>
      </c>
      <c r="C11" s="82" t="s">
        <v>240</v>
      </c>
      <c r="D11" s="82" t="s">
        <v>272</v>
      </c>
      <c r="E11" s="82" t="s">
        <v>272</v>
      </c>
      <c r="F11" s="597">
        <v>0.7</v>
      </c>
      <c r="G11" s="597">
        <v>0.73</v>
      </c>
      <c r="H11" s="597">
        <f>tbl_Exh9[[#This Row],[AV Pricing Value]]^2-tbl_Exh9[[#This Row],[AV Pricing Value]]+1.24</f>
        <v>1.0428999999999999</v>
      </c>
      <c r="I11" s="597">
        <v>1.4350000000000001</v>
      </c>
      <c r="J11" s="487">
        <f>tbl_Exh9[[#This Row],[AV Pricing Value]]-tbl_Exh9[[#This Row],[AV Metal Value]]</f>
        <v>3.0000000000000027E-2</v>
      </c>
      <c r="K11" s="598">
        <f>tbl_Exh9[[#This Row],[AV Pricing Value]]^2-tbl_Exh9[[#This Row],[AV Pricing Value]]+1.24</f>
        <v>1.0428999999999999</v>
      </c>
      <c r="L11" s="484">
        <f>IF(AND(tbl_Exh9[[#This Row],[CSR Silver Load]]&lt;&gt;"",tbl_Exh9[[#This Row],[CSR Silver Load]]&lt;&gt;1),1.435,"")</f>
        <v>1.4350000000000001</v>
      </c>
    </row>
    <row r="12" spans="1:12" ht="15.75" x14ac:dyDescent="0.25">
      <c r="A12" s="82"/>
      <c r="B12" s="82" t="s">
        <v>7</v>
      </c>
      <c r="C12" s="82" t="s">
        <v>240</v>
      </c>
      <c r="D12" s="82" t="s">
        <v>272</v>
      </c>
      <c r="E12" s="82" t="s">
        <v>272</v>
      </c>
      <c r="F12" s="597">
        <v>0.7</v>
      </c>
      <c r="G12" s="597">
        <v>0.67</v>
      </c>
      <c r="H12" s="597">
        <f>tbl_Exh9[[#This Row],[AV Pricing Value]]^2-tbl_Exh9[[#This Row],[AV Pricing Value]]+1.24</f>
        <v>1.0188999999999999</v>
      </c>
      <c r="I12" s="597">
        <v>1.48</v>
      </c>
      <c r="J12" s="487">
        <f>tbl_Exh9[[#This Row],[AV Pricing Value]]-tbl_Exh9[[#This Row],[AV Metal Value]]</f>
        <v>-2.9999999999999916E-2</v>
      </c>
      <c r="K12" s="598">
        <f>tbl_Exh9[[#This Row],[AV Pricing Value]]^2-tbl_Exh9[[#This Row],[AV Pricing Value]]+1.24</f>
        <v>1.0188999999999999</v>
      </c>
      <c r="L12" s="484">
        <f>IF(AND(tbl_Exh9[[#This Row],[CSR Silver Load]]&lt;&gt;"",tbl_Exh9[[#This Row],[CSR Silver Load]]&lt;&gt;1),1.435,"")</f>
        <v>1.4350000000000001</v>
      </c>
    </row>
    <row r="13" spans="1:12" ht="15.75" x14ac:dyDescent="0.25">
      <c r="A13" s="82"/>
      <c r="B13" s="82" t="s">
        <v>7</v>
      </c>
      <c r="C13" s="82" t="s">
        <v>240</v>
      </c>
      <c r="D13" s="82" t="s">
        <v>272</v>
      </c>
      <c r="E13" s="82" t="s">
        <v>272</v>
      </c>
      <c r="F13" s="597">
        <v>0.7</v>
      </c>
      <c r="G13" s="597">
        <v>0.66800000000000004</v>
      </c>
      <c r="H13" s="597">
        <f>tbl_Exh9[[#This Row],[AV Pricing Value]]^2-tbl_Exh9[[#This Row],[AV Pricing Value]]+1.24</f>
        <v>1.018224</v>
      </c>
      <c r="I13" s="597">
        <v>1.2</v>
      </c>
      <c r="J13" s="487">
        <f>tbl_Exh9[[#This Row],[AV Pricing Value]]-tbl_Exh9[[#This Row],[AV Metal Value]]</f>
        <v>-3.1999999999999917E-2</v>
      </c>
      <c r="K13" s="598">
        <f>tbl_Exh9[[#This Row],[AV Pricing Value]]^2-tbl_Exh9[[#This Row],[AV Pricing Value]]+1.24</f>
        <v>1.018224</v>
      </c>
      <c r="L13" s="484">
        <f>IF(AND(tbl_Exh9[[#This Row],[CSR Silver Load]]&lt;&gt;"",tbl_Exh9[[#This Row],[CSR Silver Load]]&lt;&gt;1),1.435,"")</f>
        <v>1.4350000000000001</v>
      </c>
    </row>
    <row r="14" spans="1:12" ht="15.75" x14ac:dyDescent="0.25">
      <c r="A14" s="82"/>
      <c r="B14" s="82" t="s">
        <v>7</v>
      </c>
      <c r="C14" s="82" t="s">
        <v>240</v>
      </c>
      <c r="D14" s="82" t="s">
        <v>272</v>
      </c>
      <c r="E14" s="82" t="s">
        <v>272</v>
      </c>
      <c r="F14" s="597">
        <v>0.7</v>
      </c>
      <c r="G14" s="597">
        <v>0.72</v>
      </c>
      <c r="H14" s="597">
        <f>tbl_Exh9[[#This Row],[AV Pricing Value]]^2-tbl_Exh9[[#This Row],[AV Pricing Value]]+1.24</f>
        <v>1.0384</v>
      </c>
      <c r="I14" s="597">
        <v>1.4350000000000001</v>
      </c>
      <c r="J14" s="487">
        <f>tbl_Exh9[[#This Row],[AV Pricing Value]]-tbl_Exh9[[#This Row],[AV Metal Value]]</f>
        <v>2.0000000000000018E-2</v>
      </c>
      <c r="K14" s="598">
        <f>tbl_Exh9[[#This Row],[AV Pricing Value]]^2-tbl_Exh9[[#This Row],[AV Pricing Value]]+1.24</f>
        <v>1.0384</v>
      </c>
      <c r="L14" s="484">
        <f>IF(AND(tbl_Exh9[[#This Row],[CSR Silver Load]]&lt;&gt;"",tbl_Exh9[[#This Row],[CSR Silver Load]]&lt;&gt;1),1.435,"")</f>
        <v>1.4350000000000001</v>
      </c>
    </row>
    <row r="15" spans="1:12" ht="15.75" x14ac:dyDescent="0.25">
      <c r="A15" s="82"/>
      <c r="B15" s="82" t="s">
        <v>7</v>
      </c>
      <c r="C15" s="82" t="s">
        <v>240</v>
      </c>
      <c r="D15" s="82" t="s">
        <v>272</v>
      </c>
      <c r="E15" s="82" t="s">
        <v>272</v>
      </c>
      <c r="F15" s="597">
        <v>0.7</v>
      </c>
      <c r="G15" s="597">
        <v>0.68</v>
      </c>
      <c r="H15" s="597">
        <f>tbl_Exh9[[#This Row],[AV Pricing Value]]^2-tbl_Exh9[[#This Row],[AV Pricing Value]]+1.24</f>
        <v>1.0224</v>
      </c>
      <c r="I15" s="597">
        <v>1.4350000000000001</v>
      </c>
      <c r="J15" s="487">
        <f>tbl_Exh9[[#This Row],[AV Pricing Value]]-tbl_Exh9[[#This Row],[AV Metal Value]]</f>
        <v>-1.9999999999999907E-2</v>
      </c>
      <c r="K15" s="598">
        <f>tbl_Exh9[[#This Row],[AV Pricing Value]]^2-tbl_Exh9[[#This Row],[AV Pricing Value]]+1.24</f>
        <v>1.0224</v>
      </c>
      <c r="L15" s="484">
        <f>IF(AND(tbl_Exh9[[#This Row],[CSR Silver Load]]&lt;&gt;"",tbl_Exh9[[#This Row],[CSR Silver Load]]&lt;&gt;1),1.435,"")</f>
        <v>1.4350000000000001</v>
      </c>
    </row>
    <row r="16" spans="1:12" ht="15.75" x14ac:dyDescent="0.25">
      <c r="A16" s="82"/>
      <c r="B16" s="82" t="s">
        <v>7</v>
      </c>
      <c r="C16" s="82" t="s">
        <v>240</v>
      </c>
      <c r="D16" s="82" t="s">
        <v>272</v>
      </c>
      <c r="E16" s="82" t="s">
        <v>272</v>
      </c>
      <c r="F16" s="597">
        <v>0.72</v>
      </c>
      <c r="G16" s="597">
        <v>0.74</v>
      </c>
      <c r="H16" s="597">
        <f>tbl_Exh9[[#This Row],[AV Pricing Value]]^2-tbl_Exh9[[#This Row],[AV Pricing Value]]+1.24</f>
        <v>1.0476000000000001</v>
      </c>
      <c r="I16" s="597">
        <v>1.4350000000000001</v>
      </c>
      <c r="J16" s="487">
        <f>tbl_Exh9[[#This Row],[AV Pricing Value]]-tbl_Exh9[[#This Row],[AV Metal Value]]</f>
        <v>2.0000000000000018E-2</v>
      </c>
      <c r="K16" s="598">
        <f>tbl_Exh9[[#This Row],[AV Pricing Value]]^2-tbl_Exh9[[#This Row],[AV Pricing Value]]+1.24</f>
        <v>1.0476000000000001</v>
      </c>
      <c r="L16" s="484">
        <f>IF(AND(tbl_Exh9[[#This Row],[CSR Silver Load]]&lt;&gt;"",tbl_Exh9[[#This Row],[CSR Silver Load]]&lt;&gt;1),1.435,"")</f>
        <v>1.4350000000000001</v>
      </c>
    </row>
    <row r="17" spans="1:12" ht="15.75" x14ac:dyDescent="0.25">
      <c r="A17" s="82"/>
      <c r="B17" s="82" t="s">
        <v>7</v>
      </c>
      <c r="C17" s="82" t="s">
        <v>240</v>
      </c>
      <c r="D17" s="82" t="s">
        <v>272</v>
      </c>
      <c r="E17" s="82" t="s">
        <v>272</v>
      </c>
      <c r="F17" s="597">
        <v>0.72</v>
      </c>
      <c r="G17" s="597">
        <v>0.76</v>
      </c>
      <c r="H17" s="597">
        <f>tbl_Exh9[[#This Row],[AV Pricing Value]]^2-tbl_Exh9[[#This Row],[AV Pricing Value]]+1.24</f>
        <v>1.0575999999999999</v>
      </c>
      <c r="I17" s="597">
        <v>1.4350000000000001</v>
      </c>
      <c r="J17" s="487">
        <f>tbl_Exh9[[#This Row],[AV Pricing Value]]-tbl_Exh9[[#This Row],[AV Metal Value]]</f>
        <v>4.0000000000000036E-2</v>
      </c>
      <c r="K17" s="598">
        <f>tbl_Exh9[[#This Row],[AV Pricing Value]]^2-tbl_Exh9[[#This Row],[AV Pricing Value]]+1.24</f>
        <v>1.0575999999999999</v>
      </c>
      <c r="L17" s="484">
        <f>IF(AND(tbl_Exh9[[#This Row],[CSR Silver Load]]&lt;&gt;"",tbl_Exh9[[#This Row],[CSR Silver Load]]&lt;&gt;1),1.435,"")</f>
        <v>1.4350000000000001</v>
      </c>
    </row>
    <row r="24" spans="1:12" ht="21.75" thickBot="1" x14ac:dyDescent="0.4">
      <c r="A24" s="131" t="s">
        <v>49</v>
      </c>
      <c r="B24" s="131"/>
      <c r="C24" s="131"/>
      <c r="D24" s="131"/>
      <c r="E24" s="131"/>
    </row>
    <row r="25" spans="1:12" ht="16.5" thickTop="1" x14ac:dyDescent="0.25">
      <c r="A25" s="82"/>
      <c r="B25" s="82"/>
      <c r="C25" s="82"/>
      <c r="D25" s="82"/>
      <c r="E25" s="82"/>
      <c r="F25" s="82"/>
      <c r="G25" s="82"/>
      <c r="H25" s="82"/>
      <c r="I25" s="82"/>
      <c r="J25" s="82"/>
      <c r="K25" s="82"/>
      <c r="L25" s="82"/>
    </row>
    <row r="26" spans="1:12" ht="15.75" x14ac:dyDescent="0.25">
      <c r="A26" s="600"/>
      <c r="B26" s="601"/>
      <c r="C26" s="601"/>
      <c r="D26" s="601"/>
      <c r="E26" s="601"/>
      <c r="F26" s="601"/>
      <c r="G26" s="601"/>
      <c r="H26" s="601"/>
      <c r="I26" s="601"/>
      <c r="J26" s="601"/>
      <c r="K26" s="601"/>
      <c r="L26" s="601"/>
    </row>
    <row r="27" spans="1:12" ht="15.75" x14ac:dyDescent="0.25">
      <c r="A27" s="600"/>
      <c r="B27" s="601"/>
      <c r="C27" s="601"/>
      <c r="D27" s="601"/>
      <c r="E27" s="601"/>
      <c r="F27" s="601"/>
      <c r="G27" s="601"/>
      <c r="H27" s="601"/>
      <c r="I27" s="601"/>
      <c r="J27" s="601"/>
      <c r="K27" s="601"/>
      <c r="L27" s="601"/>
    </row>
    <row r="28" spans="1:12" ht="15.75" x14ac:dyDescent="0.25">
      <c r="A28" s="600"/>
      <c r="B28" s="601"/>
      <c r="C28" s="601"/>
      <c r="D28" s="601"/>
      <c r="E28" s="601"/>
      <c r="F28" s="601"/>
      <c r="G28" s="601"/>
      <c r="H28" s="601"/>
      <c r="I28" s="601"/>
      <c r="J28" s="601"/>
      <c r="K28" s="601"/>
      <c r="L28" s="601"/>
    </row>
    <row r="29" spans="1:12" ht="15.75" x14ac:dyDescent="0.25">
      <c r="A29" s="600"/>
      <c r="B29" s="601"/>
      <c r="C29" s="601"/>
      <c r="D29" s="601"/>
      <c r="E29" s="601"/>
      <c r="F29" s="601"/>
      <c r="G29" s="601"/>
      <c r="H29" s="601"/>
      <c r="I29" s="601"/>
      <c r="J29" s="601"/>
      <c r="K29" s="601"/>
      <c r="L29" s="601"/>
    </row>
    <row r="30" spans="1:12" ht="15.75" x14ac:dyDescent="0.25">
      <c r="A30" s="600"/>
      <c r="B30" s="601"/>
      <c r="C30" s="601"/>
      <c r="D30" s="601"/>
      <c r="E30" s="601"/>
      <c r="F30" s="601"/>
      <c r="G30" s="601"/>
      <c r="H30" s="601"/>
      <c r="I30" s="601"/>
      <c r="J30" s="601"/>
      <c r="K30" s="601"/>
      <c r="L30" s="601"/>
    </row>
    <row r="31" spans="1:12" ht="15.75" x14ac:dyDescent="0.25">
      <c r="A31" s="600"/>
      <c r="B31" s="601"/>
      <c r="C31" s="601"/>
      <c r="D31" s="601"/>
      <c r="E31" s="601"/>
      <c r="F31" s="601"/>
      <c r="G31" s="601"/>
      <c r="H31" s="601"/>
      <c r="I31" s="601"/>
      <c r="J31" s="601"/>
      <c r="K31" s="601"/>
      <c r="L31" s="601"/>
    </row>
    <row r="32" spans="1:12" ht="15.75" x14ac:dyDescent="0.25">
      <c r="A32" s="600"/>
      <c r="B32" s="601"/>
      <c r="C32" s="601"/>
      <c r="D32" s="601"/>
      <c r="E32" s="601"/>
      <c r="F32" s="601"/>
      <c r="G32" s="601"/>
      <c r="H32" s="601"/>
      <c r="I32" s="601"/>
      <c r="J32" s="601"/>
      <c r="K32" s="601"/>
      <c r="L32" s="601"/>
    </row>
    <row r="33" spans="1:12" ht="15.75" x14ac:dyDescent="0.25">
      <c r="A33" s="600"/>
      <c r="B33" s="601"/>
      <c r="C33" s="601"/>
      <c r="D33" s="601"/>
      <c r="E33" s="601"/>
      <c r="F33" s="601"/>
      <c r="G33" s="601"/>
      <c r="H33" s="601"/>
      <c r="I33" s="601"/>
      <c r="J33" s="601"/>
      <c r="K33" s="601"/>
      <c r="L33" s="601"/>
    </row>
    <row r="34" spans="1:12" ht="15.75" x14ac:dyDescent="0.25">
      <c r="A34" s="600"/>
      <c r="B34" s="601"/>
      <c r="C34" s="601"/>
      <c r="D34" s="601"/>
      <c r="E34" s="601"/>
      <c r="F34" s="601"/>
      <c r="G34" s="601"/>
      <c r="H34" s="601"/>
      <c r="I34" s="601"/>
      <c r="J34" s="601"/>
      <c r="K34" s="601"/>
      <c r="L34" s="601"/>
    </row>
  </sheetData>
  <mergeCells count="13">
    <mergeCell ref="A34:L34"/>
    <mergeCell ref="A28:L28"/>
    <mergeCell ref="A29:L29"/>
    <mergeCell ref="A30:L30"/>
    <mergeCell ref="A31:L31"/>
    <mergeCell ref="A32:L32"/>
    <mergeCell ref="A33:L33"/>
    <mergeCell ref="A27:L27"/>
    <mergeCell ref="B3:L3"/>
    <mergeCell ref="B4:L4"/>
    <mergeCell ref="B5:L5"/>
    <mergeCell ref="B6:L6"/>
    <mergeCell ref="A26:L26"/>
  </mergeCells>
  <phoneticPr fontId="36" type="noConversion"/>
  <conditionalFormatting sqref="J10:J23">
    <cfRule type="expression" dxfId="4" priority="4">
      <formula>OR(AND(J10&lt;-2%,OR(E10="",E10="No")),AND(J10&lt;-3%,E10="Yes"))</formula>
    </cfRule>
    <cfRule type="expression" dxfId="3" priority="5">
      <formula>OR(AND(J10&gt;2%,OR(E10="",E10="No")),AND(J10&gt;3%,E10="Yes"))</formula>
    </cfRule>
  </conditionalFormatting>
  <conditionalFormatting sqref="K10:K23">
    <cfRule type="expression" dxfId="2" priority="2">
      <formula>ROUND(H10,4)&lt;&gt;ROUND(K10,4)</formula>
    </cfRule>
  </conditionalFormatting>
  <conditionalFormatting sqref="L10:L23">
    <cfRule type="expression" dxfId="1" priority="1">
      <formula>AND(I10&lt;&gt;1,I10&lt;&gt;L10)</formula>
    </cfRule>
  </conditionalFormatting>
  <dataValidations count="1">
    <dataValidation type="list" allowBlank="1" showInputMessage="1" showErrorMessage="1" sqref="D10:E23" xr:uid="{772A8323-87F6-4799-9D2B-D09B19AFBE25}">
      <formula1>"Yes, No"</formula1>
    </dataValidation>
  </dataValidations>
  <printOptions horizontalCentered="1"/>
  <pageMargins left="0.25" right="0.25" top="0.75" bottom="0.75" header="0.25" footer="0.25"/>
  <pageSetup scale="67" orientation="landscape" horizontalDpi="1200" verticalDpi="1200" r:id="rId1"/>
  <headerFooter>
    <oddFooter>&amp;L2026 IND &amp;&amp; SG ACA MEDICAL RATE FILINGS -- COMMON EXHIBITS&amp;R03/21/2025</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6C9DDCEF-F478-427A-B505-19754917A460}">
          <x14:formula1>
            <xm:f>Lookups!$A$6:$A$10</xm:f>
          </x14:formula1>
          <xm:sqref>B10:B23</xm:sqref>
        </x14:dataValidation>
        <x14:dataValidation type="list" allowBlank="1" showInputMessage="1" showErrorMessage="1" xr:uid="{B7B797E5-EA49-405D-B0D1-44343D5A745C}">
          <x14:formula1>
            <xm:f>Lookups!$A$14:$A$17</xm:f>
          </x14:formula1>
          <xm:sqref>C10:C23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9341-098C-4713-91D7-7D0551251515}">
  <sheetPr codeName="Sheet10">
    <tabColor theme="9" tint="-0.499984740745262"/>
    <pageSetUpPr fitToPage="1"/>
  </sheetPr>
  <dimension ref="A1:AH77"/>
  <sheetViews>
    <sheetView showGridLines="0" zoomScale="70" zoomScaleNormal="70" workbookViewId="0">
      <pane xSplit="1" ySplit="12" topLeftCell="B13" activePane="bottomRight" state="frozen"/>
      <selection pane="topRight"/>
      <selection pane="bottomLeft"/>
      <selection pane="bottomRight"/>
    </sheetView>
  </sheetViews>
  <sheetFormatPr defaultRowHeight="15" x14ac:dyDescent="0.25"/>
  <cols>
    <col min="1" max="1" width="66.7109375" customWidth="1"/>
    <col min="2" max="2" width="10.7109375" customWidth="1"/>
    <col min="3" max="3" width="12.140625" customWidth="1"/>
    <col min="4" max="4" width="12.7109375" bestFit="1" customWidth="1"/>
    <col min="5" max="5" width="10" bestFit="1" customWidth="1"/>
    <col min="6" max="7" width="13.42578125" bestFit="1" customWidth="1"/>
    <col min="8" max="8" width="12.7109375" bestFit="1" customWidth="1"/>
    <col min="9" max="9" width="1.7109375" customWidth="1"/>
    <col min="10" max="10" width="14" customWidth="1"/>
    <col min="11" max="11" width="10" bestFit="1" customWidth="1"/>
    <col min="12" max="12" width="2.7109375" customWidth="1"/>
    <col min="13" max="13" width="66.140625" customWidth="1"/>
    <col min="14" max="14" width="11.42578125" customWidth="1"/>
    <col min="15" max="15" width="12.28515625" customWidth="1"/>
    <col min="16" max="16" width="12.7109375" bestFit="1" customWidth="1"/>
    <col min="17" max="17" width="10.7109375" bestFit="1" customWidth="1"/>
    <col min="18" max="18" width="12.28515625" bestFit="1" customWidth="1"/>
    <col min="19" max="19" width="11.5703125" bestFit="1" customWidth="1"/>
    <col min="20" max="20" width="12.7109375" bestFit="1" customWidth="1"/>
    <col min="21" max="21" width="1.7109375" customWidth="1"/>
    <col min="22" max="22" width="13.28515625" customWidth="1"/>
    <col min="23" max="23" width="10" bestFit="1" customWidth="1"/>
    <col min="24" max="24" width="2.7109375" customWidth="1"/>
    <col min="25" max="25" width="11.140625" customWidth="1"/>
    <col min="26" max="26" width="10" customWidth="1"/>
    <col min="32" max="32" width="1.7109375" customWidth="1"/>
    <col min="33" max="33" width="13.5703125" customWidth="1"/>
  </cols>
  <sheetData>
    <row r="1" spans="1:34" ht="26.25" x14ac:dyDescent="0.4">
      <c r="A1" s="272" t="s">
        <v>299</v>
      </c>
    </row>
    <row r="2" spans="1:34" x14ac:dyDescent="0.25">
      <c r="A2" s="261"/>
    </row>
    <row r="3" spans="1:34" ht="18.75" x14ac:dyDescent="0.3">
      <c r="A3" s="98" t="s">
        <v>10</v>
      </c>
      <c r="B3" s="613" t="str">
        <f>CarrierName</f>
        <v>ABC Company</v>
      </c>
      <c r="C3" s="614"/>
      <c r="D3" s="614"/>
      <c r="E3" s="614"/>
      <c r="F3" s="614"/>
      <c r="G3" s="614"/>
      <c r="H3" s="614"/>
      <c r="I3" s="614"/>
      <c r="J3" s="614"/>
      <c r="K3" s="614"/>
      <c r="L3" s="614"/>
      <c r="M3" s="614"/>
    </row>
    <row r="4" spans="1:34" ht="18.75" x14ac:dyDescent="0.3">
      <c r="A4" s="98" t="s">
        <v>0</v>
      </c>
      <c r="B4" s="613" t="str">
        <f>Market</f>
        <v>Individual</v>
      </c>
      <c r="C4" s="614"/>
      <c r="D4" s="614"/>
      <c r="E4" s="614"/>
      <c r="F4" s="614"/>
      <c r="G4" s="614"/>
      <c r="H4" s="614"/>
      <c r="I4" s="614"/>
      <c r="J4" s="614"/>
      <c r="K4" s="614"/>
      <c r="L4" s="614"/>
      <c r="M4" s="614"/>
    </row>
    <row r="5" spans="1:34" ht="18.75" x14ac:dyDescent="0.3">
      <c r="A5" s="98" t="s">
        <v>12</v>
      </c>
      <c r="B5" s="613">
        <f>PlanYear</f>
        <v>2026</v>
      </c>
      <c r="C5" s="614"/>
      <c r="D5" s="614"/>
      <c r="E5" s="614"/>
      <c r="F5" s="614"/>
      <c r="G5" s="614"/>
      <c r="H5" s="614"/>
      <c r="I5" s="614"/>
      <c r="J5" s="614"/>
      <c r="K5" s="614"/>
      <c r="L5" s="614"/>
      <c r="M5" s="614"/>
    </row>
    <row r="6" spans="1:34" ht="18.75" x14ac:dyDescent="0.3">
      <c r="A6" s="98" t="s">
        <v>13</v>
      </c>
      <c r="B6" s="613">
        <f>ExperYear</f>
        <v>2024</v>
      </c>
      <c r="C6" s="614"/>
      <c r="D6" s="614"/>
      <c r="E6" s="614"/>
      <c r="F6" s="614"/>
      <c r="G6" s="614"/>
      <c r="H6" s="614"/>
      <c r="I6" s="614"/>
      <c r="J6" s="614"/>
      <c r="K6" s="614"/>
      <c r="L6" s="614"/>
      <c r="M6" s="614"/>
    </row>
    <row r="7" spans="1:34" x14ac:dyDescent="0.25">
      <c r="A7" s="261"/>
    </row>
    <row r="9" spans="1:34" x14ac:dyDescent="0.25">
      <c r="B9" s="43" t="str">
        <f>"ACTUAL EXPERIENCE, "&amp;ExperYear</f>
        <v>ACTUAL EXPERIENCE, 2024</v>
      </c>
      <c r="C9" s="43"/>
      <c r="D9" s="19"/>
      <c r="E9" s="19"/>
      <c r="F9" s="19"/>
      <c r="G9" s="19"/>
      <c r="H9" s="19"/>
      <c r="I9" s="19"/>
      <c r="J9" s="19"/>
      <c r="K9" s="19"/>
      <c r="N9" s="43" t="str">
        <f>"PROJECTED (i.e., EXPECTED), "&amp;PlanYear</f>
        <v>PROJECTED (i.e., EXPECTED), 2026</v>
      </c>
      <c r="O9" s="43"/>
      <c r="P9" s="19"/>
      <c r="Q9" s="19"/>
      <c r="R9" s="19"/>
      <c r="S9" s="19"/>
      <c r="T9" s="19"/>
      <c r="U9" s="19"/>
      <c r="V9" s="19"/>
      <c r="W9" s="19"/>
      <c r="Y9" s="43" t="str">
        <f>N9&amp;" versus "&amp;B9</f>
        <v>PROJECTED (i.e., EXPECTED), 2026 versus ACTUAL EXPERIENCE, 2024</v>
      </c>
      <c r="Z9" s="43"/>
      <c r="AA9" s="43"/>
      <c r="AB9" s="43"/>
      <c r="AC9" s="43"/>
      <c r="AD9" s="43"/>
      <c r="AE9" s="43"/>
      <c r="AF9" s="43"/>
      <c r="AG9" s="43"/>
      <c r="AH9" s="43"/>
    </row>
    <row r="10" spans="1:34" ht="15" customHeight="1" x14ac:dyDescent="0.25">
      <c r="B10" s="621" t="s">
        <v>208</v>
      </c>
      <c r="C10" s="367"/>
      <c r="D10" s="19" t="s">
        <v>209</v>
      </c>
      <c r="E10" s="19"/>
      <c r="F10" s="19"/>
      <c r="G10" s="19"/>
      <c r="H10" s="19"/>
      <c r="J10" s="621" t="s">
        <v>210</v>
      </c>
      <c r="K10" s="19" t="s">
        <v>209</v>
      </c>
      <c r="N10" s="621" t="s">
        <v>208</v>
      </c>
      <c r="O10" s="367"/>
      <c r="P10" s="19" t="s">
        <v>209</v>
      </c>
      <c r="Q10" s="19"/>
      <c r="R10" s="19"/>
      <c r="S10" s="19"/>
      <c r="T10" s="19"/>
      <c r="V10" s="621" t="s">
        <v>210</v>
      </c>
      <c r="W10" s="19" t="s">
        <v>209</v>
      </c>
      <c r="Y10" s="621" t="s">
        <v>208</v>
      </c>
      <c r="Z10" s="367"/>
      <c r="AA10" s="19" t="s">
        <v>209</v>
      </c>
      <c r="AB10" s="19"/>
      <c r="AC10" s="19"/>
      <c r="AD10" s="19"/>
      <c r="AE10" s="19"/>
      <c r="AG10" s="621" t="s">
        <v>210</v>
      </c>
      <c r="AH10" s="19" t="s">
        <v>209</v>
      </c>
    </row>
    <row r="11" spans="1:34" ht="15.75" customHeight="1" x14ac:dyDescent="0.25">
      <c r="B11" s="623"/>
      <c r="C11" s="621" t="s">
        <v>211</v>
      </c>
      <c r="D11" s="621" t="s">
        <v>212</v>
      </c>
      <c r="E11" s="621" t="s">
        <v>9</v>
      </c>
      <c r="F11" s="621" t="s">
        <v>8</v>
      </c>
      <c r="G11" s="621" t="s">
        <v>7</v>
      </c>
      <c r="H11" s="621" t="s">
        <v>6</v>
      </c>
      <c r="J11" s="623"/>
      <c r="K11" s="621" t="s">
        <v>213</v>
      </c>
      <c r="N11" s="623"/>
      <c r="O11" s="621" t="s">
        <v>214</v>
      </c>
      <c r="P11" s="621" t="s">
        <v>212</v>
      </c>
      <c r="Q11" s="621" t="s">
        <v>9</v>
      </c>
      <c r="R11" s="621" t="s">
        <v>8</v>
      </c>
      <c r="S11" s="621" t="s">
        <v>7</v>
      </c>
      <c r="T11" s="621" t="s">
        <v>6</v>
      </c>
      <c r="V11" s="623"/>
      <c r="W11" s="621" t="s">
        <v>213</v>
      </c>
      <c r="Y11" s="623"/>
      <c r="Z11" s="621" t="s">
        <v>214</v>
      </c>
      <c r="AA11" s="621" t="s">
        <v>212</v>
      </c>
      <c r="AB11" s="621" t="s">
        <v>9</v>
      </c>
      <c r="AC11" s="621" t="s">
        <v>8</v>
      </c>
      <c r="AD11" s="621" t="s">
        <v>7</v>
      </c>
      <c r="AE11" s="621" t="s">
        <v>6</v>
      </c>
      <c r="AG11" s="623"/>
      <c r="AH11" s="621" t="s">
        <v>213</v>
      </c>
    </row>
    <row r="12" spans="1:34" ht="30" customHeight="1" x14ac:dyDescent="0.25">
      <c r="A12" s="51" t="s">
        <v>16</v>
      </c>
      <c r="B12" s="623"/>
      <c r="C12" s="623"/>
      <c r="D12" s="623"/>
      <c r="E12" s="623"/>
      <c r="F12" s="623"/>
      <c r="G12" s="623"/>
      <c r="H12" s="623"/>
      <c r="J12" s="622"/>
      <c r="K12" s="622"/>
      <c r="M12" s="52" t="s">
        <v>16</v>
      </c>
      <c r="N12" s="623"/>
      <c r="O12" s="623"/>
      <c r="P12" s="623"/>
      <c r="Q12" s="623"/>
      <c r="R12" s="623"/>
      <c r="S12" s="623"/>
      <c r="T12" s="623"/>
      <c r="V12" s="622"/>
      <c r="W12" s="622"/>
      <c r="Y12" s="623"/>
      <c r="Z12" s="623"/>
      <c r="AA12" s="623"/>
      <c r="AB12" s="623"/>
      <c r="AC12" s="623"/>
      <c r="AD12" s="623"/>
      <c r="AE12" s="623"/>
      <c r="AG12" s="622"/>
      <c r="AH12" s="622"/>
    </row>
    <row r="13" spans="1:34" x14ac:dyDescent="0.25">
      <c r="A13" s="53" t="s">
        <v>215</v>
      </c>
      <c r="B13" s="22"/>
      <c r="C13" s="22"/>
      <c r="D13" s="23">
        <f>SUM(E13:H13)</f>
        <v>0</v>
      </c>
      <c r="E13" s="175">
        <v>0</v>
      </c>
      <c r="F13" s="175">
        <v>0</v>
      </c>
      <c r="G13" s="175">
        <v>0</v>
      </c>
      <c r="H13" s="175">
        <v>0</v>
      </c>
      <c r="J13" s="22"/>
      <c r="K13" s="175">
        <v>0</v>
      </c>
      <c r="M13" s="53" t="s">
        <v>215</v>
      </c>
      <c r="N13" s="22"/>
      <c r="O13" s="22"/>
      <c r="P13" s="23">
        <f>SUM(Q13:T13)</f>
        <v>0</v>
      </c>
      <c r="Q13" s="175">
        <v>0</v>
      </c>
      <c r="R13" s="175">
        <v>0</v>
      </c>
      <c r="S13" s="175">
        <v>0</v>
      </c>
      <c r="T13" s="175">
        <v>0</v>
      </c>
      <c r="V13" s="22"/>
      <c r="W13" s="175">
        <v>0</v>
      </c>
      <c r="Y13" s="407"/>
      <c r="Z13" s="407"/>
      <c r="AA13" s="408" t="str">
        <f>IFERROR(P13/D13,"")</f>
        <v/>
      </c>
      <c r="AB13" s="408" t="str">
        <f t="shared" ref="AB13:AE13" si="0">IFERROR(Q13/E13,"")</f>
        <v/>
      </c>
      <c r="AC13" s="408" t="str">
        <f t="shared" si="0"/>
        <v/>
      </c>
      <c r="AD13" s="408" t="str">
        <f t="shared" si="0"/>
        <v/>
      </c>
      <c r="AE13" s="408" t="str">
        <f t="shared" si="0"/>
        <v/>
      </c>
      <c r="AF13" s="409"/>
      <c r="AG13" s="407"/>
      <c r="AH13" s="408" t="str">
        <f t="shared" ref="AH13:AH18" si="1">IFERROR(W13/K13,"")</f>
        <v/>
      </c>
    </row>
    <row r="14" spans="1:34" x14ac:dyDescent="0.25">
      <c r="A14" s="54" t="s">
        <v>216</v>
      </c>
      <c r="B14" s="171">
        <v>0</v>
      </c>
      <c r="C14" s="49"/>
      <c r="D14" s="221" t="str">
        <f t="shared" ref="D14:D17" si="2">IFERROR(SUMPRODUCT(E14:H14,E$13:H$13)/D$13,"TBD")</f>
        <v>TBD</v>
      </c>
      <c r="E14" s="220">
        <v>0.9</v>
      </c>
      <c r="F14" s="220">
        <v>0.8</v>
      </c>
      <c r="G14" s="220">
        <v>0.7</v>
      </c>
      <c r="H14" s="220">
        <v>0.6</v>
      </c>
      <c r="J14" s="220">
        <v>0.57000000000000006</v>
      </c>
      <c r="K14" s="220">
        <v>0.57000000000000006</v>
      </c>
      <c r="M14" s="54" t="s">
        <v>216</v>
      </c>
      <c r="N14" s="171">
        <v>0</v>
      </c>
      <c r="O14" s="49"/>
      <c r="P14" s="24" t="str">
        <f>IFERROR(SUMPRODUCT(Q14:T14,$Q$13:$T$13)/$P$13,"TBD")</f>
        <v>TBD</v>
      </c>
      <c r="Q14" s="171">
        <v>0.9</v>
      </c>
      <c r="R14" s="171">
        <v>0.8</v>
      </c>
      <c r="S14" s="171">
        <v>0.7</v>
      </c>
      <c r="T14" s="171">
        <v>0.6</v>
      </c>
      <c r="V14" s="171">
        <v>0</v>
      </c>
      <c r="W14" s="171">
        <v>0</v>
      </c>
      <c r="Y14" s="410" t="str">
        <f t="shared" ref="Y14:Y18" si="3">IFERROR(N14/B14,"")</f>
        <v/>
      </c>
      <c r="Z14" s="411"/>
      <c r="AA14" s="410" t="str">
        <f t="shared" ref="AA14:AA18" si="4">IFERROR(P14/D14,"")</f>
        <v/>
      </c>
      <c r="AB14" s="410">
        <f t="shared" ref="AB14:AB18" si="5">IFERROR(Q14/E14,"")</f>
        <v>1</v>
      </c>
      <c r="AC14" s="410">
        <f t="shared" ref="AC14:AC18" si="6">IFERROR(R14/F14,"")</f>
        <v>1</v>
      </c>
      <c r="AD14" s="410">
        <f t="shared" ref="AD14:AD18" si="7">IFERROR(S14/G14,"")</f>
        <v>1</v>
      </c>
      <c r="AE14" s="410">
        <f t="shared" ref="AE14:AE18" si="8">IFERROR(T14/H14,"")</f>
        <v>1</v>
      </c>
      <c r="AF14" s="409"/>
      <c r="AG14" s="410">
        <f t="shared" ref="AG14:AG18" si="9">IFERROR(V14/J14,"")</f>
        <v>0</v>
      </c>
      <c r="AH14" s="410">
        <f t="shared" si="1"/>
        <v>0</v>
      </c>
    </row>
    <row r="15" spans="1:34" x14ac:dyDescent="0.25">
      <c r="A15" s="55" t="s">
        <v>217</v>
      </c>
      <c r="B15" s="172">
        <v>0</v>
      </c>
      <c r="C15" s="49"/>
      <c r="D15" s="25" t="str">
        <f t="shared" si="2"/>
        <v>TBD</v>
      </c>
      <c r="E15" s="172">
        <v>0</v>
      </c>
      <c r="F15" s="172">
        <v>0</v>
      </c>
      <c r="G15" s="172">
        <v>0</v>
      </c>
      <c r="H15" s="172">
        <v>0</v>
      </c>
      <c r="J15" s="172">
        <v>0</v>
      </c>
      <c r="K15" s="172">
        <v>0</v>
      </c>
      <c r="M15" s="55" t="s">
        <v>217</v>
      </c>
      <c r="N15" s="172">
        <v>0</v>
      </c>
      <c r="O15" s="49"/>
      <c r="P15" s="25" t="str">
        <f t="shared" ref="P15:P18" si="10">IFERROR(SUMPRODUCT(Q15:T15,$Q$13:$T$13)/$P$13,"TBD")</f>
        <v>TBD</v>
      </c>
      <c r="Q15" s="172">
        <v>0</v>
      </c>
      <c r="R15" s="172">
        <v>0</v>
      </c>
      <c r="S15" s="172">
        <v>0</v>
      </c>
      <c r="T15" s="172">
        <v>0</v>
      </c>
      <c r="V15" s="172">
        <v>0</v>
      </c>
      <c r="W15" s="172">
        <v>0</v>
      </c>
      <c r="Y15" s="412" t="str">
        <f t="shared" si="3"/>
        <v/>
      </c>
      <c r="Z15" s="411"/>
      <c r="AA15" s="412" t="str">
        <f t="shared" si="4"/>
        <v/>
      </c>
      <c r="AB15" s="412" t="str">
        <f t="shared" si="5"/>
        <v/>
      </c>
      <c r="AC15" s="412" t="str">
        <f t="shared" si="6"/>
        <v/>
      </c>
      <c r="AD15" s="412" t="str">
        <f t="shared" si="7"/>
        <v/>
      </c>
      <c r="AE15" s="412" t="str">
        <f t="shared" si="8"/>
        <v/>
      </c>
      <c r="AF15" s="409"/>
      <c r="AG15" s="412" t="str">
        <f t="shared" si="9"/>
        <v/>
      </c>
      <c r="AH15" s="412" t="str">
        <f t="shared" si="1"/>
        <v/>
      </c>
    </row>
    <row r="16" spans="1:34" x14ac:dyDescent="0.25">
      <c r="A16" s="55" t="s">
        <v>218</v>
      </c>
      <c r="B16" s="172">
        <v>0</v>
      </c>
      <c r="C16" s="49"/>
      <c r="D16" s="25" t="str">
        <f t="shared" si="2"/>
        <v>TBD</v>
      </c>
      <c r="E16" s="172">
        <v>0</v>
      </c>
      <c r="F16" s="172">
        <v>0</v>
      </c>
      <c r="G16" s="172">
        <v>0</v>
      </c>
      <c r="H16" s="172">
        <v>0</v>
      </c>
      <c r="J16" s="172">
        <v>0</v>
      </c>
      <c r="K16" s="172">
        <v>0</v>
      </c>
      <c r="M16" s="55" t="s">
        <v>218</v>
      </c>
      <c r="N16" s="172">
        <v>0</v>
      </c>
      <c r="O16" s="49"/>
      <c r="P16" s="25" t="str">
        <f t="shared" si="10"/>
        <v>TBD</v>
      </c>
      <c r="Q16" s="172">
        <v>0</v>
      </c>
      <c r="R16" s="172">
        <v>0</v>
      </c>
      <c r="S16" s="172">
        <v>0</v>
      </c>
      <c r="T16" s="172">
        <v>0</v>
      </c>
      <c r="V16" s="172">
        <v>0</v>
      </c>
      <c r="W16" s="172">
        <v>0</v>
      </c>
      <c r="Y16" s="412" t="str">
        <f t="shared" si="3"/>
        <v/>
      </c>
      <c r="Z16" s="411"/>
      <c r="AA16" s="412" t="str">
        <f t="shared" si="4"/>
        <v/>
      </c>
      <c r="AB16" s="412" t="str">
        <f t="shared" si="5"/>
        <v/>
      </c>
      <c r="AC16" s="412" t="str">
        <f t="shared" si="6"/>
        <v/>
      </c>
      <c r="AD16" s="412" t="str">
        <f t="shared" si="7"/>
        <v/>
      </c>
      <c r="AE16" s="412" t="str">
        <f t="shared" si="8"/>
        <v/>
      </c>
      <c r="AF16" s="409"/>
      <c r="AG16" s="412" t="str">
        <f t="shared" si="9"/>
        <v/>
      </c>
      <c r="AH16" s="412" t="str">
        <f t="shared" si="1"/>
        <v/>
      </c>
    </row>
    <row r="17" spans="1:34" x14ac:dyDescent="0.25">
      <c r="A17" s="55" t="s">
        <v>4</v>
      </c>
      <c r="B17" s="172">
        <v>0</v>
      </c>
      <c r="C17" s="49"/>
      <c r="D17" s="25" t="str">
        <f t="shared" si="2"/>
        <v>TBD</v>
      </c>
      <c r="E17" s="172">
        <v>0</v>
      </c>
      <c r="F17" s="172">
        <v>0</v>
      </c>
      <c r="G17" s="172">
        <v>0</v>
      </c>
      <c r="H17" s="172">
        <v>0</v>
      </c>
      <c r="J17" s="172">
        <v>0</v>
      </c>
      <c r="K17" s="172">
        <v>0</v>
      </c>
      <c r="M17" s="55" t="s">
        <v>4</v>
      </c>
      <c r="N17" s="172">
        <v>0</v>
      </c>
      <c r="O17" s="49"/>
      <c r="P17" s="25" t="str">
        <f t="shared" si="10"/>
        <v>TBD</v>
      </c>
      <c r="Q17" s="172">
        <v>0</v>
      </c>
      <c r="R17" s="172">
        <v>0</v>
      </c>
      <c r="S17" s="172">
        <v>0</v>
      </c>
      <c r="T17" s="172">
        <v>0</v>
      </c>
      <c r="V17" s="172">
        <v>0</v>
      </c>
      <c r="W17" s="172">
        <v>0</v>
      </c>
      <c r="Y17" s="412" t="str">
        <f t="shared" si="3"/>
        <v/>
      </c>
      <c r="Z17" s="411"/>
      <c r="AA17" s="412" t="str">
        <f t="shared" si="4"/>
        <v/>
      </c>
      <c r="AB17" s="412" t="str">
        <f t="shared" si="5"/>
        <v/>
      </c>
      <c r="AC17" s="412" t="str">
        <f t="shared" si="6"/>
        <v/>
      </c>
      <c r="AD17" s="412" t="str">
        <f t="shared" si="7"/>
        <v/>
      </c>
      <c r="AE17" s="412" t="str">
        <f t="shared" si="8"/>
        <v/>
      </c>
      <c r="AF17" s="409"/>
      <c r="AG17" s="412" t="str">
        <f t="shared" si="9"/>
        <v/>
      </c>
      <c r="AH17" s="412" t="str">
        <f t="shared" si="1"/>
        <v/>
      </c>
    </row>
    <row r="18" spans="1:34" x14ac:dyDescent="0.25">
      <c r="A18" s="56" t="s">
        <v>219</v>
      </c>
      <c r="B18" s="173">
        <v>0</v>
      </c>
      <c r="C18" s="27"/>
      <c r="D18" s="26" t="str">
        <f>IFERROR(SUMPRODUCT(E18:H18,E$13:H$13)/D$13,"TBD")</f>
        <v>TBD</v>
      </c>
      <c r="E18" s="173">
        <v>0</v>
      </c>
      <c r="F18" s="173">
        <v>0</v>
      </c>
      <c r="G18" s="173">
        <v>0</v>
      </c>
      <c r="H18" s="173">
        <v>0</v>
      </c>
      <c r="J18" s="173">
        <v>0</v>
      </c>
      <c r="K18" s="173">
        <v>0</v>
      </c>
      <c r="M18" s="56" t="s">
        <v>219</v>
      </c>
      <c r="N18" s="173">
        <v>0</v>
      </c>
      <c r="O18" s="27"/>
      <c r="P18" s="26" t="str">
        <f t="shared" si="10"/>
        <v>TBD</v>
      </c>
      <c r="Q18" s="173">
        <v>0</v>
      </c>
      <c r="R18" s="173">
        <v>0</v>
      </c>
      <c r="S18" s="173">
        <v>0</v>
      </c>
      <c r="T18" s="173">
        <v>0</v>
      </c>
      <c r="V18" s="173">
        <v>0</v>
      </c>
      <c r="W18" s="173">
        <v>0</v>
      </c>
      <c r="Y18" s="413" t="str">
        <f t="shared" si="3"/>
        <v/>
      </c>
      <c r="Z18" s="414"/>
      <c r="AA18" s="413" t="str">
        <f t="shared" si="4"/>
        <v/>
      </c>
      <c r="AB18" s="413" t="str">
        <f t="shared" si="5"/>
        <v/>
      </c>
      <c r="AC18" s="413" t="str">
        <f t="shared" si="6"/>
        <v/>
      </c>
      <c r="AD18" s="413" t="str">
        <f t="shared" si="7"/>
        <v/>
      </c>
      <c r="AE18" s="413" t="str">
        <f t="shared" si="8"/>
        <v/>
      </c>
      <c r="AF18" s="409"/>
      <c r="AG18" s="413" t="str">
        <f t="shared" si="9"/>
        <v/>
      </c>
      <c r="AH18" s="413" t="str">
        <f t="shared" si="1"/>
        <v/>
      </c>
    </row>
    <row r="19" spans="1:34" x14ac:dyDescent="0.25">
      <c r="A19" s="58"/>
      <c r="B19" s="49"/>
      <c r="C19" s="49"/>
      <c r="D19" s="49"/>
      <c r="E19" s="49"/>
      <c r="F19" s="49"/>
      <c r="G19" s="49"/>
      <c r="H19" s="49"/>
      <c r="J19" s="49"/>
      <c r="K19" s="49"/>
      <c r="M19" s="55" t="s">
        <v>220</v>
      </c>
      <c r="N19" s="49"/>
      <c r="O19" s="49"/>
      <c r="P19" s="49"/>
      <c r="Q19" s="49"/>
      <c r="R19" s="49"/>
      <c r="S19" s="49"/>
      <c r="T19" s="49"/>
      <c r="V19" s="49"/>
      <c r="W19" s="49"/>
      <c r="Y19" s="411"/>
      <c r="Z19" s="411"/>
      <c r="AA19" s="411"/>
      <c r="AB19" s="411"/>
      <c r="AC19" s="411"/>
      <c r="AD19" s="411"/>
      <c r="AE19" s="411"/>
      <c r="AF19" s="409"/>
      <c r="AG19" s="411"/>
      <c r="AH19" s="411"/>
    </row>
    <row r="20" spans="1:34" x14ac:dyDescent="0.25">
      <c r="A20" s="58"/>
      <c r="B20" s="49"/>
      <c r="C20" s="49"/>
      <c r="D20" s="49"/>
      <c r="E20" s="49"/>
      <c r="F20" s="49"/>
      <c r="G20" s="49"/>
      <c r="H20" s="49"/>
      <c r="J20" s="49"/>
      <c r="K20" s="49"/>
      <c r="M20" s="55" t="s">
        <v>221</v>
      </c>
      <c r="N20" s="225">
        <f>B23</f>
        <v>0</v>
      </c>
      <c r="O20" s="49"/>
      <c r="P20" s="49"/>
      <c r="Q20" s="49"/>
      <c r="R20" s="49"/>
      <c r="S20" s="49"/>
      <c r="T20" s="49"/>
      <c r="V20" s="222">
        <f>J23</f>
        <v>0</v>
      </c>
      <c r="W20" s="49"/>
      <c r="Y20" s="411"/>
      <c r="Z20" s="411"/>
      <c r="AA20" s="411"/>
      <c r="AB20" s="411"/>
      <c r="AC20" s="411"/>
      <c r="AD20" s="411"/>
      <c r="AE20" s="411"/>
      <c r="AF20" s="409"/>
      <c r="AG20" s="411"/>
      <c r="AH20" s="411"/>
    </row>
    <row r="21" spans="1:34" x14ac:dyDescent="0.25">
      <c r="A21" s="58"/>
      <c r="B21" s="49"/>
      <c r="C21" s="49"/>
      <c r="D21" s="49"/>
      <c r="E21" s="49"/>
      <c r="F21" s="49"/>
      <c r="G21" s="49"/>
      <c r="H21" s="49"/>
      <c r="J21" s="49"/>
      <c r="K21" s="49"/>
      <c r="M21" s="55" t="str">
        <f>"Trend from "&amp;RIGHT(B9,4)&amp;" to "&amp;RIGHT(B9,4)+1</f>
        <v>Trend from 2024 to 2025</v>
      </c>
      <c r="N21" s="179">
        <v>0</v>
      </c>
      <c r="O21" s="49"/>
      <c r="P21" s="49"/>
      <c r="Q21" s="49"/>
      <c r="R21" s="49"/>
      <c r="S21" s="49"/>
      <c r="T21" s="49"/>
      <c r="V21" s="179">
        <v>0</v>
      </c>
      <c r="W21" s="49"/>
      <c r="Y21" s="411"/>
      <c r="Z21" s="411"/>
      <c r="AA21" s="411"/>
      <c r="AB21" s="411"/>
      <c r="AC21" s="411"/>
      <c r="AD21" s="411"/>
      <c r="AE21" s="411"/>
      <c r="AF21" s="409"/>
      <c r="AG21" s="411"/>
      <c r="AH21" s="411"/>
    </row>
    <row r="22" spans="1:34" x14ac:dyDescent="0.25">
      <c r="A22" s="58"/>
      <c r="B22" s="49"/>
      <c r="C22" s="49"/>
      <c r="D22" s="49"/>
      <c r="E22" s="49"/>
      <c r="F22" s="49"/>
      <c r="G22" s="49"/>
      <c r="H22" s="49"/>
      <c r="J22" s="49"/>
      <c r="K22" s="49"/>
      <c r="M22" s="55" t="str">
        <f>"Trend from "&amp;RIGHT(B9,4)+1&amp;" to "&amp;RIGHT(B9,4)+2</f>
        <v>Trend from 2025 to 2026</v>
      </c>
      <c r="N22" s="179">
        <v>0</v>
      </c>
      <c r="O22" s="49"/>
      <c r="P22" s="49"/>
      <c r="Q22" s="49"/>
      <c r="R22" s="49"/>
      <c r="S22" s="49"/>
      <c r="T22" s="49"/>
      <c r="V22" s="179">
        <v>0</v>
      </c>
      <c r="W22" s="49"/>
      <c r="Y22" s="411"/>
      <c r="Z22" s="411"/>
      <c r="AA22" s="411"/>
      <c r="AB22" s="411"/>
      <c r="AC22" s="411"/>
      <c r="AD22" s="411"/>
      <c r="AE22" s="411"/>
      <c r="AF22" s="409"/>
      <c r="AG22" s="411"/>
      <c r="AH22" s="411"/>
    </row>
    <row r="23" spans="1:34" x14ac:dyDescent="0.25">
      <c r="A23" s="56" t="s">
        <v>222</v>
      </c>
      <c r="B23" s="174">
        <v>0</v>
      </c>
      <c r="C23" s="27"/>
      <c r="D23" s="27"/>
      <c r="E23" s="27"/>
      <c r="F23" s="27"/>
      <c r="G23" s="27"/>
      <c r="H23" s="27"/>
      <c r="J23" s="174">
        <v>0</v>
      </c>
      <c r="K23" s="27"/>
      <c r="M23" s="56" t="s">
        <v>222</v>
      </c>
      <c r="N23" s="224">
        <f>N20*(1+N21)*(1+N22)</f>
        <v>0</v>
      </c>
      <c r="O23" s="27"/>
      <c r="P23" s="27"/>
      <c r="Q23" s="27"/>
      <c r="R23" s="27"/>
      <c r="S23" s="27"/>
      <c r="T23" s="27"/>
      <c r="V23" s="223">
        <f>V20*(1+V21)*(1+V22)</f>
        <v>0</v>
      </c>
      <c r="W23" s="27"/>
      <c r="Y23" s="413" t="str">
        <f t="shared" ref="Y23:Y26" si="11">IFERROR(N23/B23,"")</f>
        <v/>
      </c>
      <c r="Z23" s="414"/>
      <c r="AA23" s="414"/>
      <c r="AB23" s="414"/>
      <c r="AC23" s="414"/>
      <c r="AD23" s="414"/>
      <c r="AE23" s="414"/>
      <c r="AF23" s="409"/>
      <c r="AG23" s="413" t="str">
        <f t="shared" ref="AG23:AG24" si="12">IFERROR(V23/J23,"")</f>
        <v/>
      </c>
      <c r="AH23" s="414"/>
    </row>
    <row r="24" spans="1:34" x14ac:dyDescent="0.25">
      <c r="A24" s="54" t="s">
        <v>223</v>
      </c>
      <c r="B24" s="28">
        <f>IFERROR(B15*B17*B18,"TBD")</f>
        <v>0</v>
      </c>
      <c r="C24" s="30"/>
      <c r="D24" s="28" t="str">
        <f>IFERROR(D15*D17*D18,"TBD")</f>
        <v>TBD</v>
      </c>
      <c r="E24" s="28">
        <f>IFERROR(E15*E17*E18,"TBD")</f>
        <v>0</v>
      </c>
      <c r="F24" s="28">
        <f>IFERROR(F15*F17*F18,"TBD")</f>
        <v>0</v>
      </c>
      <c r="G24" s="28">
        <f>IFERROR(G15*G17*G18,"TBD")</f>
        <v>0</v>
      </c>
      <c r="H24" s="28">
        <f>IFERROR(H15*H17*H18,"TBD")</f>
        <v>0</v>
      </c>
      <c r="J24" s="28">
        <f>IFERROR(J15*J17*J18,"TBD")</f>
        <v>0</v>
      </c>
      <c r="K24" s="28">
        <f>IFERROR(K15*K17*K18,"TBD")</f>
        <v>0</v>
      </c>
      <c r="M24" s="54" t="s">
        <v>223</v>
      </c>
      <c r="N24" s="28">
        <f>IFERROR(N15*N17*N18,"TBD")</f>
        <v>0</v>
      </c>
      <c r="O24" s="30"/>
      <c r="P24" s="28" t="str">
        <f>IFERROR(P15*P17*P18,"TBD")</f>
        <v>TBD</v>
      </c>
      <c r="Q24" s="28">
        <f>IFERROR(Q15*Q17*Q18,"TBD")</f>
        <v>0</v>
      </c>
      <c r="R24" s="28">
        <f>IFERROR(R15*R17*R18,"TBD")</f>
        <v>0</v>
      </c>
      <c r="S24" s="28">
        <f>IFERROR(S15*S17*S18,"TBD")</f>
        <v>0</v>
      </c>
      <c r="T24" s="28">
        <f>IFERROR(T15*T17*T18,"TBD")</f>
        <v>0</v>
      </c>
      <c r="V24" s="28">
        <f>IFERROR(V15*V17*V18,"TBD")</f>
        <v>0</v>
      </c>
      <c r="W24" s="28">
        <f>IFERROR(W15*W17*W18,"TBD")</f>
        <v>0</v>
      </c>
      <c r="Y24" s="415" t="str">
        <f t="shared" si="11"/>
        <v/>
      </c>
      <c r="Z24" s="416"/>
      <c r="AA24" s="415" t="str">
        <f t="shared" ref="AA24:AA25" si="13">IFERROR(P24/D24,"")</f>
        <v/>
      </c>
      <c r="AB24" s="415" t="str">
        <f t="shared" ref="AB24:AB31" si="14">IFERROR(Q24/E24,"")</f>
        <v/>
      </c>
      <c r="AC24" s="415" t="str">
        <f t="shared" ref="AC24:AC31" si="15">IFERROR(R24/F24,"")</f>
        <v/>
      </c>
      <c r="AD24" s="415" t="str">
        <f t="shared" ref="AD24:AD31" si="16">IFERROR(S24/G24,"")</f>
        <v/>
      </c>
      <c r="AE24" s="415" t="str">
        <f t="shared" ref="AE24:AE31" si="17">IFERROR(T24/H24,"")</f>
        <v/>
      </c>
      <c r="AF24" s="409"/>
      <c r="AG24" s="415" t="str">
        <f t="shared" si="12"/>
        <v/>
      </c>
      <c r="AH24" s="415" t="str">
        <f t="shared" ref="AG24:AH38" si="18">IFERROR(W24/K24,"")</f>
        <v/>
      </c>
    </row>
    <row r="25" spans="1:34" x14ac:dyDescent="0.25">
      <c r="A25" s="56" t="s">
        <v>224</v>
      </c>
      <c r="B25" s="27"/>
      <c r="C25" s="31"/>
      <c r="D25" s="29" t="str">
        <f>IFERROR(D24/$B24,"TBD")</f>
        <v>TBD</v>
      </c>
      <c r="E25" s="29" t="str">
        <f>IFERROR(E24/$B24,"TBD")</f>
        <v>TBD</v>
      </c>
      <c r="F25" s="29" t="str">
        <f>IFERROR(F24/$B24,"TBD")</f>
        <v>TBD</v>
      </c>
      <c r="G25" s="29" t="str">
        <f>IFERROR(G24/$B24,"TBD")</f>
        <v>TBD</v>
      </c>
      <c r="H25" s="29" t="str">
        <f>IFERROR(H24/$B24,"TBD")</f>
        <v>TBD</v>
      </c>
      <c r="J25" s="27"/>
      <c r="K25" s="29" t="str">
        <f>IFERROR(K24/$J24,"TBD")</f>
        <v>TBD</v>
      </c>
      <c r="M25" s="56" t="s">
        <v>224</v>
      </c>
      <c r="N25" s="27"/>
      <c r="O25" s="31"/>
      <c r="P25" s="29" t="str">
        <f>IFERROR(P24/$N24,"TBD")</f>
        <v>TBD</v>
      </c>
      <c r="Q25" s="29" t="str">
        <f>IFERROR(Q24/$N24,"TBD")</f>
        <v>TBD</v>
      </c>
      <c r="R25" s="29" t="str">
        <f>IFERROR(R24/$N24,"TBD")</f>
        <v>TBD</v>
      </c>
      <c r="S25" s="29" t="str">
        <f>IFERROR(S24/$N24,"TBD")</f>
        <v>TBD</v>
      </c>
      <c r="T25" s="29" t="str">
        <f>IFERROR(T24/$N24,"TBD")</f>
        <v>TBD</v>
      </c>
      <c r="V25" s="27"/>
      <c r="W25" s="29" t="str">
        <f>IFERROR(W24/$V24,"TBD")</f>
        <v>TBD</v>
      </c>
      <c r="Y25" s="414"/>
      <c r="Z25" s="414"/>
      <c r="AA25" s="417" t="str">
        <f t="shared" si="13"/>
        <v/>
      </c>
      <c r="AB25" s="417" t="str">
        <f t="shared" si="14"/>
        <v/>
      </c>
      <c r="AC25" s="417" t="str">
        <f t="shared" si="15"/>
        <v/>
      </c>
      <c r="AD25" s="417" t="str">
        <f t="shared" si="16"/>
        <v/>
      </c>
      <c r="AE25" s="417" t="str">
        <f t="shared" si="17"/>
        <v/>
      </c>
      <c r="AF25" s="409"/>
      <c r="AG25" s="414"/>
      <c r="AH25" s="417" t="str">
        <f t="shared" si="18"/>
        <v/>
      </c>
    </row>
    <row r="26" spans="1:34" x14ac:dyDescent="0.25">
      <c r="A26" s="54" t="s">
        <v>225</v>
      </c>
      <c r="B26" s="28">
        <f>IFERROR(B14*B16*B17*B18,"TBD")</f>
        <v>0</v>
      </c>
      <c r="C26" s="30"/>
      <c r="D26" s="28" t="str">
        <f>IFERROR(D14*D16*D17*D18,"TBD")</f>
        <v>TBD</v>
      </c>
      <c r="E26" s="28">
        <f>IFERROR(E14*E16*E17*E18,"TBD")</f>
        <v>0</v>
      </c>
      <c r="F26" s="28">
        <f>IFERROR(F14*F16*F17*F18,"TBD")</f>
        <v>0</v>
      </c>
      <c r="G26" s="28">
        <f>IFERROR(G14*G16*G17*G18,"TBD")</f>
        <v>0</v>
      </c>
      <c r="H26" s="28">
        <f>IFERROR(H14*H16*H17*H18,"TBD")</f>
        <v>0</v>
      </c>
      <c r="J26" s="28">
        <f>IFERROR(J14*J16*J17*J18,"TBD")</f>
        <v>0</v>
      </c>
      <c r="K26" s="28">
        <f>IFERROR(K14*K16*K17*K18,"TBD")</f>
        <v>0</v>
      </c>
      <c r="M26" s="54" t="s">
        <v>225</v>
      </c>
      <c r="N26" s="28">
        <f>IFERROR(N14*N16*N17*N18,"TBD")</f>
        <v>0</v>
      </c>
      <c r="O26" s="30"/>
      <c r="P26" s="28" t="str">
        <f>IFERROR(P14*P16*P17*P18,"TBD")</f>
        <v>TBD</v>
      </c>
      <c r="Q26" s="28">
        <f>IFERROR(Q14*Q16*Q17*Q18,"TBD")</f>
        <v>0</v>
      </c>
      <c r="R26" s="28">
        <f>IFERROR(R14*R16*R17*R18,"TBD")</f>
        <v>0</v>
      </c>
      <c r="S26" s="28">
        <f>IFERROR(S14*S16*S17*S18,"TBD")</f>
        <v>0</v>
      </c>
      <c r="T26" s="28">
        <f>IFERROR(T14*T16*T17*T18,"TBD")</f>
        <v>0</v>
      </c>
      <c r="V26" s="28">
        <f>IFERROR(V14*V16*V17*V18,"TBD")</f>
        <v>0</v>
      </c>
      <c r="W26" s="28">
        <f>IFERROR(W14*W16*W17*W18,"TBD")</f>
        <v>0</v>
      </c>
      <c r="Y26" s="415" t="str">
        <f t="shared" si="11"/>
        <v/>
      </c>
      <c r="Z26" s="416"/>
      <c r="AA26" s="415" t="str">
        <f t="shared" ref="Z26:AA31" si="19">IFERROR(P26/D26,"")</f>
        <v/>
      </c>
      <c r="AB26" s="415" t="str">
        <f t="shared" si="14"/>
        <v/>
      </c>
      <c r="AC26" s="415" t="str">
        <f t="shared" si="15"/>
        <v/>
      </c>
      <c r="AD26" s="415" t="str">
        <f t="shared" si="16"/>
        <v/>
      </c>
      <c r="AE26" s="415" t="str">
        <f t="shared" si="17"/>
        <v/>
      </c>
      <c r="AF26" s="409"/>
      <c r="AG26" s="415" t="str">
        <f t="shared" si="18"/>
        <v/>
      </c>
      <c r="AH26" s="415" t="str">
        <f t="shared" si="18"/>
        <v/>
      </c>
    </row>
    <row r="27" spans="1:34" x14ac:dyDescent="0.25">
      <c r="A27" s="56" t="s">
        <v>226</v>
      </c>
      <c r="B27" s="27"/>
      <c r="C27" s="31"/>
      <c r="D27" s="29" t="str">
        <f>IFERROR(D26/$B26,"TBD")</f>
        <v>TBD</v>
      </c>
      <c r="E27" s="29" t="str">
        <f>IFERROR(E26/$B26,"TBD")</f>
        <v>TBD</v>
      </c>
      <c r="F27" s="29" t="str">
        <f>IFERROR(F26/$B26,"TBD")</f>
        <v>TBD</v>
      </c>
      <c r="G27" s="29" t="str">
        <f>IFERROR(G26/$B26,"TBD")</f>
        <v>TBD</v>
      </c>
      <c r="H27" s="29" t="str">
        <f>IFERROR(H26/$B26,"TBD")</f>
        <v>TBD</v>
      </c>
      <c r="J27" s="27"/>
      <c r="K27" s="29" t="str">
        <f>IFERROR(K26/$J26,"TBD")</f>
        <v>TBD</v>
      </c>
      <c r="M27" s="56" t="s">
        <v>226</v>
      </c>
      <c r="N27" s="27"/>
      <c r="O27" s="31"/>
      <c r="P27" s="29" t="str">
        <f>IFERROR(P26/$N26,"TBD")</f>
        <v>TBD</v>
      </c>
      <c r="Q27" s="29" t="str">
        <f>IFERROR(Q26/$N26,"TBD")</f>
        <v>TBD</v>
      </c>
      <c r="R27" s="29" t="str">
        <f>IFERROR(R26/$N26,"TBD")</f>
        <v>TBD</v>
      </c>
      <c r="S27" s="29" t="str">
        <f>IFERROR(S26/$N26,"TBD")</f>
        <v>TBD</v>
      </c>
      <c r="T27" s="29" t="str">
        <f>IFERROR(T26/$N26,"TBD")</f>
        <v>TBD</v>
      </c>
      <c r="V27" s="27"/>
      <c r="W27" s="29" t="str">
        <f>IFERROR(W26/$V26,"TBD")</f>
        <v>TBD</v>
      </c>
      <c r="Y27" s="414"/>
      <c r="Z27" s="414"/>
      <c r="AA27" s="417" t="str">
        <f t="shared" si="19"/>
        <v/>
      </c>
      <c r="AB27" s="417" t="str">
        <f t="shared" si="14"/>
        <v/>
      </c>
      <c r="AC27" s="417" t="str">
        <f t="shared" si="15"/>
        <v/>
      </c>
      <c r="AD27" s="417" t="str">
        <f t="shared" si="16"/>
        <v/>
      </c>
      <c r="AE27" s="417" t="str">
        <f t="shared" si="17"/>
        <v/>
      </c>
      <c r="AF27" s="409"/>
      <c r="AG27" s="414"/>
      <c r="AH27" s="417" t="str">
        <f t="shared" si="18"/>
        <v/>
      </c>
    </row>
    <row r="28" spans="1:34" x14ac:dyDescent="0.25">
      <c r="A28" s="54" t="s">
        <v>227</v>
      </c>
      <c r="B28" s="30"/>
      <c r="C28" s="30"/>
      <c r="D28" s="37" t="str">
        <f>IFERROR((D25-D27)*$B$23*0.86,"TBD")</f>
        <v>TBD</v>
      </c>
      <c r="E28" s="35" t="str">
        <f>IFERROR((E25-E27)*$B$23*0.86,"TBD")</f>
        <v>TBD</v>
      </c>
      <c r="F28" s="35" t="str">
        <f>IFERROR((F25-F27)*$B$23*0.86,"TBD")</f>
        <v>TBD</v>
      </c>
      <c r="G28" s="35" t="str">
        <f>IFERROR((G25-G27)*$B$23*0.86,"TBD")</f>
        <v>TBD</v>
      </c>
      <c r="H28" s="35" t="str">
        <f>IFERROR((H25-H27)*$B$23*0.86,"TBD")</f>
        <v>TBD</v>
      </c>
      <c r="J28" s="30"/>
      <c r="K28" s="35" t="str">
        <f>IFERROR((K25-K27)*$J$23*0.86,"TBD")</f>
        <v>TBD</v>
      </c>
      <c r="M28" s="54" t="s">
        <v>227</v>
      </c>
      <c r="N28" s="30"/>
      <c r="O28" s="30"/>
      <c r="P28" s="37" t="str">
        <f>IFERROR((P25-P27)*$N$23*0.86,"TBD")</f>
        <v>TBD</v>
      </c>
      <c r="Q28" s="35" t="str">
        <f>IFERROR((Q25-Q27)*$N$23*0.86,"TBD")</f>
        <v>TBD</v>
      </c>
      <c r="R28" s="35" t="str">
        <f>IFERROR((R25-R27)*$N$23*0.86,"TBD")</f>
        <v>TBD</v>
      </c>
      <c r="S28" s="35" t="str">
        <f>IFERROR((S25-S27)*$N$23*0.86,"TBD")</f>
        <v>TBD</v>
      </c>
      <c r="T28" s="35" t="str">
        <f>IFERROR((T25-T27)*$N$23*0.86,"TBD")</f>
        <v>TBD</v>
      </c>
      <c r="V28" s="30"/>
      <c r="W28" s="35" t="str">
        <f>IFERROR((W25-W27)*$V$23*0.86,"TBD")</f>
        <v>TBD</v>
      </c>
      <c r="Y28" s="416"/>
      <c r="Z28" s="416"/>
      <c r="AA28" s="418" t="str">
        <f t="shared" si="19"/>
        <v/>
      </c>
      <c r="AB28" s="415" t="str">
        <f t="shared" si="14"/>
        <v/>
      </c>
      <c r="AC28" s="415" t="str">
        <f t="shared" si="15"/>
        <v/>
      </c>
      <c r="AD28" s="415" t="str">
        <f t="shared" si="16"/>
        <v/>
      </c>
      <c r="AE28" s="415" t="str">
        <f t="shared" si="17"/>
        <v/>
      </c>
      <c r="AF28" s="409"/>
      <c r="AG28" s="416"/>
      <c r="AH28" s="415" t="str">
        <f t="shared" si="18"/>
        <v/>
      </c>
    </row>
    <row r="29" spans="1:34" x14ac:dyDescent="0.25">
      <c r="A29" s="56" t="s">
        <v>228</v>
      </c>
      <c r="B29" s="31"/>
      <c r="C29" s="31"/>
      <c r="D29" s="38" t="str">
        <f>IFERROR(D28*D13,"TBD")</f>
        <v>TBD</v>
      </c>
      <c r="E29" s="36" t="str">
        <f>IFERROR(E28*E13,"TBD")</f>
        <v>TBD</v>
      </c>
      <c r="F29" s="36" t="str">
        <f>IFERROR(F28*F13,"TBD")</f>
        <v>TBD</v>
      </c>
      <c r="G29" s="36" t="str">
        <f>IFERROR(G28*G13,"TBD")</f>
        <v>TBD</v>
      </c>
      <c r="H29" s="36" t="str">
        <f>IFERROR(H28*H13,"TBD")</f>
        <v>TBD</v>
      </c>
      <c r="J29" s="31"/>
      <c r="K29" s="36" t="str">
        <f>IFERROR(K28*K13,"TBD")</f>
        <v>TBD</v>
      </c>
      <c r="M29" s="56" t="s">
        <v>228</v>
      </c>
      <c r="N29" s="31"/>
      <c r="O29" s="31"/>
      <c r="P29" s="38" t="str">
        <f>IFERROR(P28*P13,"TBD")</f>
        <v>TBD</v>
      </c>
      <c r="Q29" s="36" t="str">
        <f>IFERROR(Q28*Q13,"TBD")</f>
        <v>TBD</v>
      </c>
      <c r="R29" s="36" t="str">
        <f>IFERROR(R28*R13,"TBD")</f>
        <v>TBD</v>
      </c>
      <c r="S29" s="36" t="str">
        <f>IFERROR(S28*S13,"TBD")</f>
        <v>TBD</v>
      </c>
      <c r="T29" s="36" t="str">
        <f>IFERROR(T28*T13,"TBD")</f>
        <v>TBD</v>
      </c>
      <c r="V29" s="31"/>
      <c r="W29" s="36" t="str">
        <f>IFERROR(W28*W13,"TBD")</f>
        <v>TBD</v>
      </c>
      <c r="Y29" s="414"/>
      <c r="Z29" s="414"/>
      <c r="AA29" s="419" t="str">
        <f t="shared" si="19"/>
        <v/>
      </c>
      <c r="AB29" s="417" t="str">
        <f t="shared" si="14"/>
        <v/>
      </c>
      <c r="AC29" s="417" t="str">
        <f t="shared" si="15"/>
        <v/>
      </c>
      <c r="AD29" s="417" t="str">
        <f t="shared" si="16"/>
        <v/>
      </c>
      <c r="AE29" s="417" t="str">
        <f t="shared" si="17"/>
        <v/>
      </c>
      <c r="AF29" s="409"/>
      <c r="AG29" s="414"/>
      <c r="AH29" s="417" t="str">
        <f t="shared" si="18"/>
        <v/>
      </c>
    </row>
    <row r="30" spans="1:34" x14ac:dyDescent="0.25">
      <c r="A30" s="54" t="s">
        <v>229</v>
      </c>
      <c r="B30" s="30"/>
      <c r="C30" s="47">
        <f>SUM(D30,K30)</f>
        <v>0</v>
      </c>
      <c r="D30" s="47" t="str">
        <f>IFERROR(SUMPRODUCT(E30:H30,E$13:H$13)/D$13,"TBD")</f>
        <v>TBD</v>
      </c>
      <c r="E30" s="176">
        <v>0</v>
      </c>
      <c r="F30" s="176">
        <v>0</v>
      </c>
      <c r="G30" s="176">
        <v>0</v>
      </c>
      <c r="H30" s="176">
        <v>0</v>
      </c>
      <c r="J30" s="30"/>
      <c r="K30" s="176">
        <v>0</v>
      </c>
      <c r="M30" s="54" t="s">
        <v>230</v>
      </c>
      <c r="N30" s="30"/>
      <c r="O30" s="47">
        <f>SUM(P30,W30)</f>
        <v>0</v>
      </c>
      <c r="P30" s="47" t="str">
        <f>IFERROR(SUMPRODUCT(Q30:T30,Q$13:T$13)/P$13,"TBD")</f>
        <v>TBD</v>
      </c>
      <c r="Q30" s="176">
        <v>0</v>
      </c>
      <c r="R30" s="176">
        <v>0</v>
      </c>
      <c r="S30" s="176">
        <v>0</v>
      </c>
      <c r="T30" s="176">
        <v>0</v>
      </c>
      <c r="V30" s="30"/>
      <c r="W30" s="176">
        <v>0</v>
      </c>
      <c r="Y30" s="416"/>
      <c r="Z30" s="415" t="str">
        <f t="shared" si="19"/>
        <v/>
      </c>
      <c r="AA30" s="415" t="str">
        <f t="shared" si="19"/>
        <v/>
      </c>
      <c r="AB30" s="415" t="str">
        <f t="shared" si="14"/>
        <v/>
      </c>
      <c r="AC30" s="415" t="str">
        <f t="shared" si="15"/>
        <v/>
      </c>
      <c r="AD30" s="415" t="str">
        <f t="shared" si="16"/>
        <v/>
      </c>
      <c r="AE30" s="415" t="str">
        <f t="shared" si="17"/>
        <v/>
      </c>
      <c r="AF30" s="409"/>
      <c r="AG30" s="416"/>
      <c r="AH30" s="415" t="str">
        <f t="shared" si="18"/>
        <v/>
      </c>
    </row>
    <row r="31" spans="1:34" x14ac:dyDescent="0.25">
      <c r="A31" s="56" t="s">
        <v>231</v>
      </c>
      <c r="B31" s="33"/>
      <c r="C31" s="33"/>
      <c r="D31" s="32" t="str">
        <f>IFERROR(D30-D28,"TBD")</f>
        <v>TBD</v>
      </c>
      <c r="E31" s="32" t="str">
        <f>IFERROR(E30-E28,"TBD")</f>
        <v>TBD</v>
      </c>
      <c r="F31" s="32" t="str">
        <f>IFERROR(F30-F28,"TBD")</f>
        <v>TBD</v>
      </c>
      <c r="G31" s="32" t="str">
        <f>IFERROR(G30-G28,"TBD")</f>
        <v>TBD</v>
      </c>
      <c r="H31" s="32" t="str">
        <f>IFERROR(H30-H28,"TBD")</f>
        <v>TBD</v>
      </c>
      <c r="J31" s="33"/>
      <c r="K31" s="32" t="str">
        <f>IFERROR(K30-K28,"TBD")</f>
        <v>TBD</v>
      </c>
      <c r="M31" s="56" t="s">
        <v>231</v>
      </c>
      <c r="N31" s="33"/>
      <c r="O31" s="33"/>
      <c r="P31" s="32" t="str">
        <f>IFERROR(P30-P28,"TBD")</f>
        <v>TBD</v>
      </c>
      <c r="Q31" s="32" t="str">
        <f>IFERROR(Q30-Q28,"TBD")</f>
        <v>TBD</v>
      </c>
      <c r="R31" s="32" t="str">
        <f>IFERROR(R30-R28,"TBD")</f>
        <v>TBD</v>
      </c>
      <c r="S31" s="32" t="str">
        <f>IFERROR(S30-S28,"TBD")</f>
        <v>TBD</v>
      </c>
      <c r="T31" s="32" t="str">
        <f>IFERROR(T30-T28,"TBD")</f>
        <v>TBD</v>
      </c>
      <c r="V31" s="33"/>
      <c r="W31" s="32" t="str">
        <f>IFERROR(W30-W28,"TBD")</f>
        <v>TBD</v>
      </c>
      <c r="Y31" s="414"/>
      <c r="Z31" s="414"/>
      <c r="AA31" s="417" t="str">
        <f t="shared" si="19"/>
        <v/>
      </c>
      <c r="AB31" s="417" t="str">
        <f t="shared" si="14"/>
        <v/>
      </c>
      <c r="AC31" s="417" t="str">
        <f t="shared" si="15"/>
        <v/>
      </c>
      <c r="AD31" s="417" t="str">
        <f t="shared" si="16"/>
        <v/>
      </c>
      <c r="AE31" s="417" t="str">
        <f t="shared" si="17"/>
        <v/>
      </c>
      <c r="AF31" s="409"/>
      <c r="AG31" s="414"/>
      <c r="AH31" s="417" t="str">
        <f t="shared" si="18"/>
        <v/>
      </c>
    </row>
    <row r="32" spans="1:34" x14ac:dyDescent="0.25">
      <c r="A32" s="57"/>
      <c r="M32" s="57"/>
      <c r="Y32" s="409"/>
      <c r="Z32" s="409"/>
      <c r="AA32" s="409"/>
      <c r="AB32" s="409"/>
      <c r="AC32" s="409"/>
      <c r="AD32" s="409"/>
      <c r="AE32" s="409"/>
      <c r="AF32" s="409"/>
      <c r="AG32" s="409"/>
      <c r="AH32" s="409"/>
    </row>
    <row r="33" spans="1:34" x14ac:dyDescent="0.25">
      <c r="A33" s="54" t="s">
        <v>232</v>
      </c>
      <c r="B33" s="30"/>
      <c r="C33" s="47">
        <f>SUM(D33,K33)</f>
        <v>0</v>
      </c>
      <c r="D33" s="47" t="str">
        <f>IFERROR(SUMPRODUCT(E33:H33,E$13:H$13)/D$13,"TBD")</f>
        <v>TBD</v>
      </c>
      <c r="E33" s="176">
        <v>0</v>
      </c>
      <c r="F33" s="176">
        <v>0</v>
      </c>
      <c r="G33" s="176">
        <v>0</v>
      </c>
      <c r="H33" s="176">
        <v>0</v>
      </c>
      <c r="J33" s="30"/>
      <c r="K33" s="176">
        <v>0</v>
      </c>
      <c r="M33" s="54" t="s">
        <v>232</v>
      </c>
      <c r="N33" s="30"/>
      <c r="O33" s="47">
        <f>SUM(P33,W33)</f>
        <v>0</v>
      </c>
      <c r="P33" s="47" t="str">
        <f>IFERROR(SUMPRODUCT(Q33:T33,Q$13:T$13)/P$13,"TBD")</f>
        <v>TBD</v>
      </c>
      <c r="Q33" s="176">
        <v>0</v>
      </c>
      <c r="R33" s="176">
        <v>0</v>
      </c>
      <c r="S33" s="176">
        <v>0</v>
      </c>
      <c r="T33" s="176">
        <v>0</v>
      </c>
      <c r="V33" s="30"/>
      <c r="W33" s="176">
        <v>0</v>
      </c>
      <c r="Y33" s="416"/>
      <c r="Z33" s="415" t="str">
        <f t="shared" ref="Z33:Z34" si="20">IFERROR(O33/C33,"")</f>
        <v/>
      </c>
      <c r="AA33" s="415" t="str">
        <f t="shared" ref="AA33:AA34" si="21">IFERROR(P33/D33,"")</f>
        <v/>
      </c>
      <c r="AB33" s="415" t="str">
        <f t="shared" ref="AB33:AB34" si="22">IFERROR(Q33/E33,"")</f>
        <v/>
      </c>
      <c r="AC33" s="415" t="str">
        <f t="shared" ref="AC33:AC34" si="23">IFERROR(R33/F33,"")</f>
        <v/>
      </c>
      <c r="AD33" s="415" t="str">
        <f t="shared" ref="AD33:AD34" si="24">IFERROR(S33/G33,"")</f>
        <v/>
      </c>
      <c r="AE33" s="415" t="str">
        <f t="shared" ref="AE33:AE34" si="25">IFERROR(T33/H33,"")</f>
        <v/>
      </c>
      <c r="AF33" s="409"/>
      <c r="AG33" s="416"/>
      <c r="AH33" s="415" t="str">
        <f t="shared" si="18"/>
        <v/>
      </c>
    </row>
    <row r="34" spans="1:34" x14ac:dyDescent="0.25">
      <c r="A34" s="56" t="s">
        <v>233</v>
      </c>
      <c r="B34" s="33"/>
      <c r="C34" s="32">
        <f>SUM(D34,K34)</f>
        <v>0</v>
      </c>
      <c r="D34" s="32" t="str">
        <f>IFERROR(SUMPRODUCT(E34:H34,E$13:H$13)/D$13,"TBD")</f>
        <v>TBD</v>
      </c>
      <c r="E34" s="177">
        <v>0</v>
      </c>
      <c r="F34" s="177">
        <v>0</v>
      </c>
      <c r="G34" s="177">
        <v>0</v>
      </c>
      <c r="H34" s="177">
        <v>0</v>
      </c>
      <c r="J34" s="33"/>
      <c r="K34" s="177">
        <v>0</v>
      </c>
      <c r="M34" s="56" t="s">
        <v>233</v>
      </c>
      <c r="N34" s="33"/>
      <c r="O34" s="32">
        <f>SUM(P34,W34)</f>
        <v>0</v>
      </c>
      <c r="P34" s="32" t="str">
        <f>IFERROR(SUMPRODUCT(Q34:T34,Q$13:T$13)/P$13,"TBD")</f>
        <v>TBD</v>
      </c>
      <c r="Q34" s="177">
        <v>0</v>
      </c>
      <c r="R34" s="177">
        <v>0</v>
      </c>
      <c r="S34" s="177">
        <v>0</v>
      </c>
      <c r="T34" s="177">
        <v>0</v>
      </c>
      <c r="V34" s="33"/>
      <c r="W34" s="177">
        <v>0</v>
      </c>
      <c r="Y34" s="414"/>
      <c r="Z34" s="417" t="str">
        <f t="shared" si="20"/>
        <v/>
      </c>
      <c r="AA34" s="417" t="str">
        <f t="shared" si="21"/>
        <v/>
      </c>
      <c r="AB34" s="417" t="str">
        <f t="shared" si="22"/>
        <v/>
      </c>
      <c r="AC34" s="417" t="str">
        <f t="shared" si="23"/>
        <v/>
      </c>
      <c r="AD34" s="417" t="str">
        <f t="shared" si="24"/>
        <v/>
      </c>
      <c r="AE34" s="417" t="str">
        <f t="shared" si="25"/>
        <v/>
      </c>
      <c r="AF34" s="409"/>
      <c r="AG34" s="414"/>
      <c r="AH34" s="417" t="str">
        <f t="shared" si="18"/>
        <v/>
      </c>
    </row>
    <row r="35" spans="1:34" ht="6" customHeight="1" x14ac:dyDescent="0.25">
      <c r="A35" s="57"/>
      <c r="M35" s="57"/>
      <c r="Y35" s="409"/>
      <c r="Z35" s="409"/>
      <c r="AA35" s="409"/>
      <c r="AB35" s="420"/>
      <c r="AC35" s="420"/>
      <c r="AD35" s="420"/>
      <c r="AE35" s="420"/>
      <c r="AF35" s="409"/>
      <c r="AG35" s="409"/>
      <c r="AH35" s="420"/>
    </row>
    <row r="36" spans="1:34" x14ac:dyDescent="0.25">
      <c r="A36" s="53" t="s">
        <v>234</v>
      </c>
      <c r="B36" s="22"/>
      <c r="C36" s="48">
        <f>SUM(D36,K36)</f>
        <v>0</v>
      </c>
      <c r="D36" s="48" t="str">
        <f>IFERROR(SUMPRODUCT(E36:H36,E$13:H$13)/D$13,"TBD")</f>
        <v>TBD</v>
      </c>
      <c r="E36" s="178">
        <v>0</v>
      </c>
      <c r="F36" s="178">
        <v>0</v>
      </c>
      <c r="G36" s="178">
        <v>0</v>
      </c>
      <c r="H36" s="178">
        <v>0</v>
      </c>
      <c r="J36" s="22"/>
      <c r="K36" s="178">
        <v>0</v>
      </c>
      <c r="M36" s="53" t="s">
        <v>234</v>
      </c>
      <c r="N36" s="22"/>
      <c r="O36" s="48">
        <f>SUM(P36,W36)</f>
        <v>0</v>
      </c>
      <c r="P36" s="48" t="str">
        <f>IFERROR(SUMPRODUCT(Q36:T36,Q$13:T$13)/P$13,"TBD")</f>
        <v>TBD</v>
      </c>
      <c r="Q36" s="178">
        <v>0</v>
      </c>
      <c r="R36" s="178">
        <v>0</v>
      </c>
      <c r="S36" s="178">
        <v>0</v>
      </c>
      <c r="T36" s="178">
        <v>0</v>
      </c>
      <c r="V36" s="22"/>
      <c r="W36" s="178">
        <v>0</v>
      </c>
      <c r="Y36" s="407"/>
      <c r="Z36" s="408" t="str">
        <f t="shared" ref="Z36" si="26">IFERROR(O36/C36,"")</f>
        <v/>
      </c>
      <c r="AA36" s="408" t="str">
        <f t="shared" ref="AA36" si="27">IFERROR(P36/D36,"")</f>
        <v/>
      </c>
      <c r="AB36" s="408" t="str">
        <f t="shared" ref="AB36" si="28">IFERROR(Q36/E36,"")</f>
        <v/>
      </c>
      <c r="AC36" s="408" t="str">
        <f t="shared" ref="AC36" si="29">IFERROR(R36/F36,"")</f>
        <v/>
      </c>
      <c r="AD36" s="408" t="str">
        <f t="shared" ref="AD36" si="30">IFERROR(S36/G36,"")</f>
        <v/>
      </c>
      <c r="AE36" s="408" t="str">
        <f t="shared" ref="AE36" si="31">IFERROR(T36/H36,"")</f>
        <v/>
      </c>
      <c r="AF36" s="409"/>
      <c r="AG36" s="407"/>
      <c r="AH36" s="408" t="str">
        <f t="shared" si="18"/>
        <v/>
      </c>
    </row>
    <row r="37" spans="1:34" ht="6" customHeight="1" x14ac:dyDescent="0.25">
      <c r="A37" s="57"/>
      <c r="M37" s="57"/>
      <c r="Y37" s="409"/>
      <c r="Z37" s="409"/>
      <c r="AA37" s="409"/>
      <c r="AB37" s="409"/>
      <c r="AC37" s="409"/>
      <c r="AD37" s="409"/>
      <c r="AE37" s="409"/>
      <c r="AF37" s="409"/>
      <c r="AG37" s="409"/>
      <c r="AH37" s="409"/>
    </row>
    <row r="38" spans="1:34" x14ac:dyDescent="0.25">
      <c r="A38" s="53" t="s">
        <v>235</v>
      </c>
      <c r="B38" s="22"/>
      <c r="C38" s="48">
        <f>SUM(D38,K38)</f>
        <v>0</v>
      </c>
      <c r="D38" s="48" t="str">
        <f>IFERROR(SUMPRODUCT(E38:H38,E$13:H$13)/D$13,"TBD")</f>
        <v>TBD</v>
      </c>
      <c r="E38" s="48">
        <f>SUM(E30,E33:E34,E36)</f>
        <v>0</v>
      </c>
      <c r="F38" s="48">
        <f t="shared" ref="F38:H38" si="32">SUM(F30,F33:F34,F36)</f>
        <v>0</v>
      </c>
      <c r="G38" s="48">
        <f t="shared" si="32"/>
        <v>0</v>
      </c>
      <c r="H38" s="48">
        <f t="shared" si="32"/>
        <v>0</v>
      </c>
      <c r="J38" s="22"/>
      <c r="K38" s="48">
        <f t="shared" ref="K38" si="33">SUM(K30,K33:K34,K36)</f>
        <v>0</v>
      </c>
      <c r="M38" s="53" t="s">
        <v>235</v>
      </c>
      <c r="N38" s="22"/>
      <c r="O38" s="48">
        <f>SUM(P38,W38)</f>
        <v>0</v>
      </c>
      <c r="P38" s="48" t="str">
        <f>IFERROR(SUMPRODUCT(Q38:T38,Q$13:T$13)/P$13,"TBD")</f>
        <v>TBD</v>
      </c>
      <c r="Q38" s="48">
        <f>SUM(Q30,Q33:Q34,Q36)</f>
        <v>0</v>
      </c>
      <c r="R38" s="48">
        <f t="shared" ref="R38:T38" si="34">SUM(R30,R33:R34,R36)</f>
        <v>0</v>
      </c>
      <c r="S38" s="48">
        <f t="shared" si="34"/>
        <v>0</v>
      </c>
      <c r="T38" s="48">
        <f t="shared" si="34"/>
        <v>0</v>
      </c>
      <c r="V38" s="22"/>
      <c r="W38" s="48">
        <f t="shared" ref="W38" si="35">SUM(W30,W33:W34,W36)</f>
        <v>0</v>
      </c>
      <c r="Y38" s="407"/>
      <c r="Z38" s="408" t="str">
        <f t="shared" ref="Z38" si="36">IFERROR(O38/C38,"")</f>
        <v/>
      </c>
      <c r="AA38" s="408" t="str">
        <f t="shared" ref="AA38" si="37">IFERROR(P38/D38,"")</f>
        <v/>
      </c>
      <c r="AB38" s="408" t="str">
        <f t="shared" ref="AB38" si="38">IFERROR(Q38/E38,"")</f>
        <v/>
      </c>
      <c r="AC38" s="408" t="str">
        <f t="shared" ref="AC38" si="39">IFERROR(R38/F38,"")</f>
        <v/>
      </c>
      <c r="AD38" s="408" t="str">
        <f t="shared" ref="AD38" si="40">IFERROR(S38/G38,"")</f>
        <v/>
      </c>
      <c r="AE38" s="408" t="str">
        <f t="shared" ref="AE38" si="41">IFERROR(T38/H38,"")</f>
        <v/>
      </c>
      <c r="AF38" s="409"/>
      <c r="AG38" s="407"/>
      <c r="AH38" s="408" t="str">
        <f t="shared" si="18"/>
        <v/>
      </c>
    </row>
    <row r="39" spans="1:34" x14ac:dyDescent="0.25">
      <c r="E39" s="34"/>
      <c r="F39" s="34"/>
      <c r="G39" s="34"/>
      <c r="H39" s="34"/>
      <c r="K39" s="34"/>
    </row>
    <row r="40" spans="1:34" x14ac:dyDescent="0.25">
      <c r="E40" s="34"/>
      <c r="F40" s="34"/>
      <c r="G40" s="34"/>
      <c r="H40" s="34"/>
      <c r="K40" s="34"/>
    </row>
    <row r="41" spans="1:34" x14ac:dyDescent="0.25">
      <c r="N41" s="43" t="str">
        <f>"PROJECTED (i.e., EXPECTED), "&amp;ExperYear</f>
        <v>PROJECTED (i.e., EXPECTED), 2024</v>
      </c>
      <c r="O41" s="43"/>
      <c r="P41" s="19"/>
      <c r="Q41" s="19"/>
      <c r="R41" s="19"/>
      <c r="S41" s="19"/>
      <c r="T41" s="19"/>
      <c r="U41" s="19"/>
      <c r="V41" s="19"/>
      <c r="W41" s="19"/>
      <c r="Y41" s="43" t="str">
        <f>B9&amp;" versus "&amp;N41</f>
        <v>ACTUAL EXPERIENCE, 2024 versus PROJECTED (i.e., EXPECTED), 2024</v>
      </c>
      <c r="Z41" s="43"/>
      <c r="AA41" s="43"/>
      <c r="AB41" s="43"/>
      <c r="AC41" s="43"/>
      <c r="AD41" s="43"/>
      <c r="AE41" s="43"/>
      <c r="AF41" s="43"/>
      <c r="AG41" s="43"/>
      <c r="AH41" s="43"/>
    </row>
    <row r="42" spans="1:34" x14ac:dyDescent="0.25">
      <c r="N42" s="621" t="s">
        <v>208</v>
      </c>
      <c r="O42" s="367"/>
      <c r="P42" s="19" t="s">
        <v>209</v>
      </c>
      <c r="Q42" s="19"/>
      <c r="R42" s="19"/>
      <c r="S42" s="19"/>
      <c r="T42" s="19"/>
      <c r="V42" s="621" t="s">
        <v>210</v>
      </c>
      <c r="W42" s="19" t="s">
        <v>209</v>
      </c>
      <c r="Y42" s="621" t="s">
        <v>208</v>
      </c>
      <c r="Z42" s="367"/>
      <c r="AA42" s="19" t="s">
        <v>209</v>
      </c>
      <c r="AB42" s="19"/>
      <c r="AC42" s="19"/>
      <c r="AD42" s="19"/>
      <c r="AE42" s="19"/>
      <c r="AG42" s="621" t="s">
        <v>210</v>
      </c>
      <c r="AH42" s="19" t="s">
        <v>209</v>
      </c>
    </row>
    <row r="43" spans="1:34" x14ac:dyDescent="0.25">
      <c r="N43" s="623"/>
      <c r="O43" s="621" t="s">
        <v>214</v>
      </c>
      <c r="P43" s="621" t="s">
        <v>212</v>
      </c>
      <c r="Q43" s="621" t="s">
        <v>9</v>
      </c>
      <c r="R43" s="621" t="s">
        <v>8</v>
      </c>
      <c r="S43" s="621" t="s">
        <v>7</v>
      </c>
      <c r="T43" s="621" t="s">
        <v>6</v>
      </c>
      <c r="V43" s="623"/>
      <c r="W43" s="621" t="s">
        <v>213</v>
      </c>
      <c r="Y43" s="623"/>
      <c r="Z43" s="621" t="s">
        <v>214</v>
      </c>
      <c r="AA43" s="621" t="s">
        <v>212</v>
      </c>
      <c r="AB43" s="621" t="s">
        <v>9</v>
      </c>
      <c r="AC43" s="621" t="s">
        <v>8</v>
      </c>
      <c r="AD43" s="621" t="s">
        <v>7</v>
      </c>
      <c r="AE43" s="621" t="s">
        <v>6</v>
      </c>
      <c r="AG43" s="623"/>
      <c r="AH43" s="621" t="s">
        <v>213</v>
      </c>
    </row>
    <row r="44" spans="1:34" x14ac:dyDescent="0.25">
      <c r="M44" s="52" t="s">
        <v>16</v>
      </c>
      <c r="N44" s="623"/>
      <c r="O44" s="623"/>
      <c r="P44" s="623"/>
      <c r="Q44" s="623"/>
      <c r="R44" s="623"/>
      <c r="S44" s="623"/>
      <c r="T44" s="623"/>
      <c r="V44" s="622"/>
      <c r="W44" s="622"/>
      <c r="Y44" s="623"/>
      <c r="Z44" s="623"/>
      <c r="AA44" s="623"/>
      <c r="AB44" s="623"/>
      <c r="AC44" s="623"/>
      <c r="AD44" s="623"/>
      <c r="AE44" s="623"/>
      <c r="AG44" s="622"/>
      <c r="AH44" s="622"/>
    </row>
    <row r="45" spans="1:34" x14ac:dyDescent="0.25">
      <c r="M45" s="53" t="s">
        <v>215</v>
      </c>
      <c r="N45" s="22"/>
      <c r="O45" s="22"/>
      <c r="P45" s="23">
        <f>SUM(Q45:T45)</f>
        <v>0</v>
      </c>
      <c r="Q45" s="175">
        <v>0</v>
      </c>
      <c r="R45" s="175">
        <v>0</v>
      </c>
      <c r="S45" s="175">
        <v>0</v>
      </c>
      <c r="T45" s="175">
        <v>0</v>
      </c>
      <c r="V45" s="22"/>
      <c r="W45" s="175">
        <v>0</v>
      </c>
      <c r="Y45" s="407"/>
      <c r="Z45" s="407"/>
      <c r="AA45" s="408" t="str">
        <f t="shared" ref="AA45:AE50" si="42">IFERROR(D13/P45,"")</f>
        <v/>
      </c>
      <c r="AB45" s="408" t="str">
        <f t="shared" si="42"/>
        <v/>
      </c>
      <c r="AC45" s="408" t="str">
        <f t="shared" si="42"/>
        <v/>
      </c>
      <c r="AD45" s="408" t="str">
        <f t="shared" si="42"/>
        <v/>
      </c>
      <c r="AE45" s="408" t="str">
        <f t="shared" si="42"/>
        <v/>
      </c>
      <c r="AF45" s="409"/>
      <c r="AG45" s="407"/>
      <c r="AH45" s="408" t="str">
        <f t="shared" ref="AH45:AH50" si="43">IFERROR(K13/W45,"")</f>
        <v/>
      </c>
    </row>
    <row r="46" spans="1:34" x14ac:dyDescent="0.25">
      <c r="M46" s="54" t="s">
        <v>216</v>
      </c>
      <c r="N46" s="171">
        <v>0</v>
      </c>
      <c r="O46" s="49"/>
      <c r="P46" s="24" t="str">
        <f>IFERROR(SUMPRODUCT(Q46:T46,$Q$13:$T$13)/$P$13,"TBD")</f>
        <v>TBD</v>
      </c>
      <c r="Q46" s="171">
        <v>0.9</v>
      </c>
      <c r="R46" s="171">
        <v>0.8</v>
      </c>
      <c r="S46" s="171">
        <v>0.7</v>
      </c>
      <c r="T46" s="171">
        <v>0.6</v>
      </c>
      <c r="V46" s="171">
        <v>0</v>
      </c>
      <c r="W46" s="171">
        <v>0</v>
      </c>
      <c r="Y46" s="410" t="str">
        <f>IFERROR(B14/N46,"")</f>
        <v/>
      </c>
      <c r="Z46" s="411"/>
      <c r="AA46" s="410" t="str">
        <f t="shared" si="42"/>
        <v/>
      </c>
      <c r="AB46" s="410">
        <f t="shared" si="42"/>
        <v>1</v>
      </c>
      <c r="AC46" s="410">
        <f t="shared" si="42"/>
        <v>1</v>
      </c>
      <c r="AD46" s="410">
        <f t="shared" si="42"/>
        <v>1</v>
      </c>
      <c r="AE46" s="410">
        <f t="shared" si="42"/>
        <v>1</v>
      </c>
      <c r="AF46" s="409"/>
      <c r="AG46" s="410" t="str">
        <f>IFERROR(J14/V46,"")</f>
        <v/>
      </c>
      <c r="AH46" s="410" t="str">
        <f t="shared" si="43"/>
        <v/>
      </c>
    </row>
    <row r="47" spans="1:34" x14ac:dyDescent="0.25">
      <c r="M47" s="55" t="s">
        <v>217</v>
      </c>
      <c r="N47" s="172">
        <v>0</v>
      </c>
      <c r="O47" s="49"/>
      <c r="P47" s="25" t="str">
        <f t="shared" ref="P47:P50" si="44">IFERROR(SUMPRODUCT(Q47:T47,$Q$13:$T$13)/$P$13,"TBD")</f>
        <v>TBD</v>
      </c>
      <c r="Q47" s="172">
        <v>0</v>
      </c>
      <c r="R47" s="172">
        <v>0</v>
      </c>
      <c r="S47" s="172">
        <v>0</v>
      </c>
      <c r="T47" s="172">
        <v>0</v>
      </c>
      <c r="V47" s="172">
        <v>0</v>
      </c>
      <c r="W47" s="172">
        <v>0</v>
      </c>
      <c r="Y47" s="412" t="str">
        <f>IFERROR(B15/N47,"")</f>
        <v/>
      </c>
      <c r="Z47" s="411"/>
      <c r="AA47" s="412" t="str">
        <f t="shared" si="42"/>
        <v/>
      </c>
      <c r="AB47" s="412" t="str">
        <f t="shared" si="42"/>
        <v/>
      </c>
      <c r="AC47" s="412" t="str">
        <f t="shared" si="42"/>
        <v/>
      </c>
      <c r="AD47" s="412" t="str">
        <f t="shared" si="42"/>
        <v/>
      </c>
      <c r="AE47" s="412" t="str">
        <f t="shared" si="42"/>
        <v/>
      </c>
      <c r="AF47" s="409"/>
      <c r="AG47" s="412" t="str">
        <f>IFERROR(J15/V47,"")</f>
        <v/>
      </c>
      <c r="AH47" s="412" t="str">
        <f t="shared" si="43"/>
        <v/>
      </c>
    </row>
    <row r="48" spans="1:34" x14ac:dyDescent="0.25">
      <c r="M48" s="55" t="s">
        <v>218</v>
      </c>
      <c r="N48" s="172">
        <v>0</v>
      </c>
      <c r="O48" s="49"/>
      <c r="P48" s="25" t="str">
        <f t="shared" si="44"/>
        <v>TBD</v>
      </c>
      <c r="Q48" s="172">
        <v>0</v>
      </c>
      <c r="R48" s="172">
        <v>0</v>
      </c>
      <c r="S48" s="172">
        <v>0</v>
      </c>
      <c r="T48" s="172">
        <v>0</v>
      </c>
      <c r="V48" s="172">
        <v>0</v>
      </c>
      <c r="W48" s="172">
        <v>0</v>
      </c>
      <c r="Y48" s="412" t="str">
        <f>IFERROR(B16/N48,"")</f>
        <v/>
      </c>
      <c r="Z48" s="411"/>
      <c r="AA48" s="412" t="str">
        <f t="shared" si="42"/>
        <v/>
      </c>
      <c r="AB48" s="412" t="str">
        <f t="shared" si="42"/>
        <v/>
      </c>
      <c r="AC48" s="412" t="str">
        <f t="shared" si="42"/>
        <v/>
      </c>
      <c r="AD48" s="412" t="str">
        <f t="shared" si="42"/>
        <v/>
      </c>
      <c r="AE48" s="412" t="str">
        <f t="shared" si="42"/>
        <v/>
      </c>
      <c r="AF48" s="409"/>
      <c r="AG48" s="412" t="str">
        <f>IFERROR(J16/V48,"")</f>
        <v/>
      </c>
      <c r="AH48" s="412" t="str">
        <f t="shared" si="43"/>
        <v/>
      </c>
    </row>
    <row r="49" spans="13:34" x14ac:dyDescent="0.25">
      <c r="M49" s="55" t="s">
        <v>4</v>
      </c>
      <c r="N49" s="172">
        <v>0</v>
      </c>
      <c r="O49" s="49"/>
      <c r="P49" s="25" t="str">
        <f t="shared" si="44"/>
        <v>TBD</v>
      </c>
      <c r="Q49" s="172">
        <v>0</v>
      </c>
      <c r="R49" s="172">
        <v>0</v>
      </c>
      <c r="S49" s="172">
        <v>0</v>
      </c>
      <c r="T49" s="172">
        <v>0</v>
      </c>
      <c r="V49" s="172">
        <v>0</v>
      </c>
      <c r="W49" s="172">
        <v>0</v>
      </c>
      <c r="Y49" s="412" t="str">
        <f>IFERROR(B17/N49,"")</f>
        <v/>
      </c>
      <c r="Z49" s="411"/>
      <c r="AA49" s="412" t="str">
        <f t="shared" si="42"/>
        <v/>
      </c>
      <c r="AB49" s="412" t="str">
        <f t="shared" si="42"/>
        <v/>
      </c>
      <c r="AC49" s="412" t="str">
        <f t="shared" si="42"/>
        <v/>
      </c>
      <c r="AD49" s="412" t="str">
        <f t="shared" si="42"/>
        <v/>
      </c>
      <c r="AE49" s="412" t="str">
        <f t="shared" si="42"/>
        <v/>
      </c>
      <c r="AF49" s="409"/>
      <c r="AG49" s="412" t="str">
        <f>IFERROR(J17/V49,"")</f>
        <v/>
      </c>
      <c r="AH49" s="412" t="str">
        <f t="shared" si="43"/>
        <v/>
      </c>
    </row>
    <row r="50" spans="13:34" x14ac:dyDescent="0.25">
      <c r="M50" s="56" t="s">
        <v>219</v>
      </c>
      <c r="N50" s="173">
        <v>0</v>
      </c>
      <c r="O50" s="27"/>
      <c r="P50" s="26" t="str">
        <f t="shared" si="44"/>
        <v>TBD</v>
      </c>
      <c r="Q50" s="173">
        <v>0</v>
      </c>
      <c r="R50" s="173">
        <v>0</v>
      </c>
      <c r="S50" s="173">
        <v>0</v>
      </c>
      <c r="T50" s="173">
        <v>0</v>
      </c>
      <c r="V50" s="173">
        <v>0</v>
      </c>
      <c r="W50" s="173">
        <v>0</v>
      </c>
      <c r="Y50" s="413" t="str">
        <f>IFERROR(B18/N50,"")</f>
        <v/>
      </c>
      <c r="Z50" s="414"/>
      <c r="AA50" s="413" t="str">
        <f t="shared" si="42"/>
        <v/>
      </c>
      <c r="AB50" s="413" t="str">
        <f t="shared" si="42"/>
        <v/>
      </c>
      <c r="AC50" s="413" t="str">
        <f t="shared" si="42"/>
        <v/>
      </c>
      <c r="AD50" s="413" t="str">
        <f t="shared" si="42"/>
        <v/>
      </c>
      <c r="AE50" s="413" t="str">
        <f t="shared" si="42"/>
        <v/>
      </c>
      <c r="AF50" s="409"/>
      <c r="AG50" s="413" t="str">
        <f>IFERROR(J18/V50,"")</f>
        <v/>
      </c>
      <c r="AH50" s="413" t="str">
        <f t="shared" si="43"/>
        <v/>
      </c>
    </row>
    <row r="51" spans="13:34" x14ac:dyDescent="0.25">
      <c r="M51" s="55" t="s">
        <v>220</v>
      </c>
      <c r="N51" s="49"/>
      <c r="O51" s="49"/>
      <c r="P51" s="49"/>
      <c r="Q51" s="49"/>
      <c r="R51" s="49"/>
      <c r="S51" s="49"/>
      <c r="T51" s="49"/>
      <c r="V51" s="49"/>
      <c r="W51" s="49"/>
      <c r="Y51" s="411"/>
      <c r="Z51" s="411"/>
      <c r="AA51" s="411"/>
      <c r="AB51" s="411"/>
      <c r="AC51" s="411"/>
      <c r="AD51" s="411"/>
      <c r="AE51" s="411"/>
      <c r="AF51" s="409"/>
      <c r="AG51" s="411"/>
      <c r="AH51" s="411"/>
    </row>
    <row r="52" spans="13:34" x14ac:dyDescent="0.25">
      <c r="M52" s="55" t="s">
        <v>221</v>
      </c>
      <c r="N52" s="559">
        <v>0</v>
      </c>
      <c r="O52" s="49"/>
      <c r="P52" s="49"/>
      <c r="Q52" s="49"/>
      <c r="R52" s="49"/>
      <c r="S52" s="49"/>
      <c r="T52" s="49"/>
      <c r="V52" s="559">
        <v>0</v>
      </c>
      <c r="W52" s="49"/>
      <c r="Y52" s="411"/>
      <c r="Z52" s="411"/>
      <c r="AA52" s="411"/>
      <c r="AB52" s="411"/>
      <c r="AC52" s="411"/>
      <c r="AD52" s="411"/>
      <c r="AE52" s="411"/>
      <c r="AF52" s="409"/>
      <c r="AG52" s="411"/>
      <c r="AH52" s="411"/>
    </row>
    <row r="53" spans="13:34" x14ac:dyDescent="0.25">
      <c r="M53" s="55" t="str">
        <f>"Trend from "&amp;ExperYear-2&amp;" to "&amp;ExperYear-1</f>
        <v>Trend from 2022 to 2023</v>
      </c>
      <c r="N53" s="179">
        <v>0</v>
      </c>
      <c r="O53" s="49"/>
      <c r="P53" s="49"/>
      <c r="Q53" s="49"/>
      <c r="R53" s="49"/>
      <c r="S53" s="49"/>
      <c r="T53" s="49"/>
      <c r="V53" s="179">
        <v>0</v>
      </c>
      <c r="W53" s="49"/>
      <c r="Y53" s="411"/>
      <c r="Z53" s="411"/>
      <c r="AA53" s="411"/>
      <c r="AB53" s="411"/>
      <c r="AC53" s="411"/>
      <c r="AD53" s="411"/>
      <c r="AE53" s="411"/>
      <c r="AF53" s="409"/>
      <c r="AG53" s="411"/>
      <c r="AH53" s="411"/>
    </row>
    <row r="54" spans="13:34" x14ac:dyDescent="0.25">
      <c r="M54" s="55" t="str">
        <f>"Trend from "&amp;ExperYear-1&amp;" to "&amp;ExperYear</f>
        <v>Trend from 2023 to 2024</v>
      </c>
      <c r="N54" s="179">
        <v>0</v>
      </c>
      <c r="O54" s="49"/>
      <c r="P54" s="49"/>
      <c r="Q54" s="49"/>
      <c r="R54" s="49"/>
      <c r="S54" s="49"/>
      <c r="T54" s="49"/>
      <c r="V54" s="179">
        <v>0</v>
      </c>
      <c r="W54" s="49"/>
      <c r="Y54" s="411"/>
      <c r="Z54" s="411"/>
      <c r="AA54" s="411"/>
      <c r="AB54" s="411"/>
      <c r="AC54" s="411"/>
      <c r="AD54" s="411"/>
      <c r="AE54" s="411"/>
      <c r="AF54" s="409"/>
      <c r="AG54" s="411"/>
      <c r="AH54" s="411"/>
    </row>
    <row r="55" spans="13:34" x14ac:dyDescent="0.25">
      <c r="M55" s="56" t="s">
        <v>222</v>
      </c>
      <c r="N55" s="224">
        <f>N52*(1+N53)*(1+N54)</f>
        <v>0</v>
      </c>
      <c r="O55" s="27"/>
      <c r="P55" s="27"/>
      <c r="Q55" s="27"/>
      <c r="R55" s="27"/>
      <c r="S55" s="27"/>
      <c r="T55" s="27"/>
      <c r="V55" s="223">
        <f>V52*(1+V53)*(1+V54)</f>
        <v>0</v>
      </c>
      <c r="W55" s="27"/>
      <c r="Y55" s="413" t="str">
        <f>IFERROR(B23/N55,"")</f>
        <v/>
      </c>
      <c r="Z55" s="414"/>
      <c r="AA55" s="414"/>
      <c r="AB55" s="414"/>
      <c r="AC55" s="414"/>
      <c r="AD55" s="414"/>
      <c r="AE55" s="414"/>
      <c r="AF55" s="409"/>
      <c r="AG55" s="413" t="str">
        <f>IFERROR(J23/V55,"")</f>
        <v/>
      </c>
      <c r="AH55" s="414"/>
    </row>
    <row r="56" spans="13:34" x14ac:dyDescent="0.25">
      <c r="M56" s="54" t="s">
        <v>223</v>
      </c>
      <c r="N56" s="28">
        <f>IFERROR(N47*N49*N50,"TBD")</f>
        <v>0</v>
      </c>
      <c r="O56" s="30"/>
      <c r="P56" s="28" t="str">
        <f>IFERROR(P47*P49*P50,"TBD")</f>
        <v>TBD</v>
      </c>
      <c r="Q56" s="28">
        <f>IFERROR(Q47*Q49*Q50,"TBD")</f>
        <v>0</v>
      </c>
      <c r="R56" s="28">
        <f>IFERROR(R47*R49*R50,"TBD")</f>
        <v>0</v>
      </c>
      <c r="S56" s="28">
        <f>IFERROR(S47*S49*S50,"TBD")</f>
        <v>0</v>
      </c>
      <c r="T56" s="28">
        <f>IFERROR(T47*T49*T50,"TBD")</f>
        <v>0</v>
      </c>
      <c r="V56" s="28">
        <f>IFERROR(V47*V49*V50,"TBD")</f>
        <v>0</v>
      </c>
      <c r="W56" s="28">
        <f>IFERROR(W47*W49*W50,"TBD")</f>
        <v>0</v>
      </c>
      <c r="Y56" s="415" t="str">
        <f>IFERROR(B24/N56,"")</f>
        <v/>
      </c>
      <c r="Z56" s="416"/>
      <c r="AA56" s="415" t="str">
        <f t="shared" ref="AA56:AE63" si="45">IFERROR(D24/P56,"")</f>
        <v/>
      </c>
      <c r="AB56" s="415" t="str">
        <f t="shared" si="45"/>
        <v/>
      </c>
      <c r="AC56" s="415" t="str">
        <f t="shared" si="45"/>
        <v/>
      </c>
      <c r="AD56" s="415" t="str">
        <f t="shared" si="45"/>
        <v/>
      </c>
      <c r="AE56" s="415" t="str">
        <f t="shared" si="45"/>
        <v/>
      </c>
      <c r="AF56" s="409"/>
      <c r="AG56" s="415" t="str">
        <f>IFERROR(J24/V56,"")</f>
        <v/>
      </c>
      <c r="AH56" s="415" t="str">
        <f t="shared" ref="AH56:AH63" si="46">IFERROR(K24/W56,"")</f>
        <v/>
      </c>
    </row>
    <row r="57" spans="13:34" x14ac:dyDescent="0.25">
      <c r="M57" s="56" t="s">
        <v>224</v>
      </c>
      <c r="N57" s="27"/>
      <c r="O57" s="31"/>
      <c r="P57" s="29" t="str">
        <f>IFERROR(P56/#REF!,"TBD")</f>
        <v>TBD</v>
      </c>
      <c r="Q57" s="29" t="str">
        <f>IFERROR(Q56/#REF!,"TBD")</f>
        <v>TBD</v>
      </c>
      <c r="R57" s="29" t="str">
        <f>IFERROR(R56/#REF!,"TBD")</f>
        <v>TBD</v>
      </c>
      <c r="S57" s="29" t="str">
        <f>IFERROR(S56/#REF!,"TBD")</f>
        <v>TBD</v>
      </c>
      <c r="T57" s="29" t="str">
        <f>IFERROR(T56/#REF!,"TBD")</f>
        <v>TBD</v>
      </c>
      <c r="V57" s="27"/>
      <c r="W57" s="29" t="str">
        <f>IFERROR(W56/#REF!,"TBD")</f>
        <v>TBD</v>
      </c>
      <c r="Y57" s="414"/>
      <c r="Z57" s="414"/>
      <c r="AA57" s="417" t="str">
        <f t="shared" si="45"/>
        <v/>
      </c>
      <c r="AB57" s="417" t="str">
        <f t="shared" si="45"/>
        <v/>
      </c>
      <c r="AC57" s="417" t="str">
        <f t="shared" si="45"/>
        <v/>
      </c>
      <c r="AD57" s="417" t="str">
        <f t="shared" si="45"/>
        <v/>
      </c>
      <c r="AE57" s="417" t="str">
        <f t="shared" si="45"/>
        <v/>
      </c>
      <c r="AF57" s="409"/>
      <c r="AG57" s="414"/>
      <c r="AH57" s="417" t="str">
        <f t="shared" si="46"/>
        <v/>
      </c>
    </row>
    <row r="58" spans="13:34" x14ac:dyDescent="0.25">
      <c r="M58" s="54" t="s">
        <v>225</v>
      </c>
      <c r="N58" s="28">
        <f>IFERROR(N46*N48*N49*N50,"TBD")</f>
        <v>0</v>
      </c>
      <c r="O58" s="30"/>
      <c r="P58" s="28" t="str">
        <f>IFERROR(P46*P48*P49*P50,"TBD")</f>
        <v>TBD</v>
      </c>
      <c r="Q58" s="28">
        <f>IFERROR(Q46*Q48*Q49*Q50,"TBD")</f>
        <v>0</v>
      </c>
      <c r="R58" s="28">
        <f>IFERROR(R46*R48*R49*R50,"TBD")</f>
        <v>0</v>
      </c>
      <c r="S58" s="28">
        <f>IFERROR(S46*S48*S49*S50,"TBD")</f>
        <v>0</v>
      </c>
      <c r="T58" s="28">
        <f>IFERROR(T46*T48*T49*T50,"TBD")</f>
        <v>0</v>
      </c>
      <c r="V58" s="28">
        <f>IFERROR(V46*V48*V49*V50,"TBD")</f>
        <v>0</v>
      </c>
      <c r="W58" s="28">
        <f>IFERROR(W46*W48*W49*W50,"TBD")</f>
        <v>0</v>
      </c>
      <c r="Y58" s="415" t="str">
        <f>IFERROR(B26/N58,"")</f>
        <v/>
      </c>
      <c r="Z58" s="416"/>
      <c r="AA58" s="415" t="str">
        <f t="shared" si="45"/>
        <v/>
      </c>
      <c r="AB58" s="415" t="str">
        <f t="shared" si="45"/>
        <v/>
      </c>
      <c r="AC58" s="415" t="str">
        <f t="shared" si="45"/>
        <v/>
      </c>
      <c r="AD58" s="415" t="str">
        <f t="shared" si="45"/>
        <v/>
      </c>
      <c r="AE58" s="415" t="str">
        <f t="shared" si="45"/>
        <v/>
      </c>
      <c r="AF58" s="409"/>
      <c r="AG58" s="415" t="str">
        <f>IFERROR(J26/V58,"")</f>
        <v/>
      </c>
      <c r="AH58" s="415" t="str">
        <f t="shared" si="46"/>
        <v/>
      </c>
    </row>
    <row r="59" spans="13:34" x14ac:dyDescent="0.25">
      <c r="M59" s="56" t="s">
        <v>226</v>
      </c>
      <c r="N59" s="27"/>
      <c r="O59" s="31"/>
      <c r="P59" s="29" t="str">
        <f>IFERROR(P58/#REF!,"TBD")</f>
        <v>TBD</v>
      </c>
      <c r="Q59" s="29" t="str">
        <f>IFERROR(Q58/#REF!,"TBD")</f>
        <v>TBD</v>
      </c>
      <c r="R59" s="29" t="str">
        <f>IFERROR(R58/#REF!,"TBD")</f>
        <v>TBD</v>
      </c>
      <c r="S59" s="29" t="str">
        <f>IFERROR(S58/#REF!,"TBD")</f>
        <v>TBD</v>
      </c>
      <c r="T59" s="29" t="str">
        <f>IFERROR(T58/#REF!,"TBD")</f>
        <v>TBD</v>
      </c>
      <c r="V59" s="27"/>
      <c r="W59" s="29" t="str">
        <f>IFERROR(W58/#REF!,"TBD")</f>
        <v>TBD</v>
      </c>
      <c r="Y59" s="414"/>
      <c r="Z59" s="414"/>
      <c r="AA59" s="417" t="str">
        <f t="shared" si="45"/>
        <v/>
      </c>
      <c r="AB59" s="417" t="str">
        <f t="shared" si="45"/>
        <v/>
      </c>
      <c r="AC59" s="417" t="str">
        <f t="shared" si="45"/>
        <v/>
      </c>
      <c r="AD59" s="417" t="str">
        <f t="shared" si="45"/>
        <v/>
      </c>
      <c r="AE59" s="417" t="str">
        <f t="shared" si="45"/>
        <v/>
      </c>
      <c r="AF59" s="409"/>
      <c r="AG59" s="414"/>
      <c r="AH59" s="417" t="str">
        <f t="shared" si="46"/>
        <v/>
      </c>
    </row>
    <row r="60" spans="13:34" x14ac:dyDescent="0.25">
      <c r="M60" s="54" t="s">
        <v>227</v>
      </c>
      <c r="N60" s="30"/>
      <c r="O60" s="30"/>
      <c r="P60" s="37" t="str">
        <f>IFERROR((P57-P59)*$N$23*0.86,"TBD")</f>
        <v>TBD</v>
      </c>
      <c r="Q60" s="35" t="str">
        <f>IFERROR((Q57-Q59)*$N$23*0.86,"TBD")</f>
        <v>TBD</v>
      </c>
      <c r="R60" s="35" t="str">
        <f>IFERROR((R57-R59)*$N$23*0.86,"TBD")</f>
        <v>TBD</v>
      </c>
      <c r="S60" s="35" t="str">
        <f>IFERROR((S57-S59)*$N$23*0.86,"TBD")</f>
        <v>TBD</v>
      </c>
      <c r="T60" s="35" t="str">
        <f>IFERROR((T57-T59)*$N$23*0.86,"TBD")</f>
        <v>TBD</v>
      </c>
      <c r="V60" s="30"/>
      <c r="W60" s="35" t="str">
        <f>IFERROR((W57-W59)*$V$23*0.86,"TBD")</f>
        <v>TBD</v>
      </c>
      <c r="Y60" s="416"/>
      <c r="Z60" s="416"/>
      <c r="AA60" s="418" t="str">
        <f t="shared" si="45"/>
        <v/>
      </c>
      <c r="AB60" s="415" t="str">
        <f t="shared" si="45"/>
        <v/>
      </c>
      <c r="AC60" s="415" t="str">
        <f t="shared" si="45"/>
        <v/>
      </c>
      <c r="AD60" s="415" t="str">
        <f t="shared" si="45"/>
        <v/>
      </c>
      <c r="AE60" s="415" t="str">
        <f t="shared" si="45"/>
        <v/>
      </c>
      <c r="AF60" s="409"/>
      <c r="AG60" s="416"/>
      <c r="AH60" s="415" t="str">
        <f t="shared" si="46"/>
        <v/>
      </c>
    </row>
    <row r="61" spans="13:34" x14ac:dyDescent="0.25">
      <c r="M61" s="56" t="s">
        <v>228</v>
      </c>
      <c r="N61" s="31"/>
      <c r="O61" s="31"/>
      <c r="P61" s="38" t="str">
        <f>IFERROR(P60*P45,"TBD")</f>
        <v>TBD</v>
      </c>
      <c r="Q61" s="36" t="str">
        <f>IFERROR(Q60*Q45,"TBD")</f>
        <v>TBD</v>
      </c>
      <c r="R61" s="36" t="str">
        <f>IFERROR(R60*R45,"TBD")</f>
        <v>TBD</v>
      </c>
      <c r="S61" s="36" t="str">
        <f>IFERROR(S60*S45,"TBD")</f>
        <v>TBD</v>
      </c>
      <c r="T61" s="36" t="str">
        <f>IFERROR(T60*T45,"TBD")</f>
        <v>TBD</v>
      </c>
      <c r="V61" s="31"/>
      <c r="W61" s="36" t="str">
        <f>IFERROR(W60*W45,"TBD")</f>
        <v>TBD</v>
      </c>
      <c r="Y61" s="414"/>
      <c r="Z61" s="414"/>
      <c r="AA61" s="419" t="str">
        <f t="shared" si="45"/>
        <v/>
      </c>
      <c r="AB61" s="417" t="str">
        <f t="shared" si="45"/>
        <v/>
      </c>
      <c r="AC61" s="417" t="str">
        <f t="shared" si="45"/>
        <v/>
      </c>
      <c r="AD61" s="417" t="str">
        <f t="shared" si="45"/>
        <v/>
      </c>
      <c r="AE61" s="417" t="str">
        <f t="shared" si="45"/>
        <v/>
      </c>
      <c r="AF61" s="409"/>
      <c r="AG61" s="414"/>
      <c r="AH61" s="417" t="str">
        <f t="shared" si="46"/>
        <v/>
      </c>
    </row>
    <row r="62" spans="13:34" x14ac:dyDescent="0.25">
      <c r="M62" s="54" t="s">
        <v>230</v>
      </c>
      <c r="N62" s="30"/>
      <c r="O62" s="47">
        <f>SUM(P62,W62)</f>
        <v>0</v>
      </c>
      <c r="P62" s="47" t="str">
        <f>IFERROR(SUMPRODUCT(Q62:T62,E$13:H$13)/D$13,"TBD")</f>
        <v>TBD</v>
      </c>
      <c r="Q62" s="176">
        <v>0</v>
      </c>
      <c r="R62" s="176">
        <v>0</v>
      </c>
      <c r="S62" s="176">
        <v>0</v>
      </c>
      <c r="T62" s="176">
        <v>0</v>
      </c>
      <c r="V62" s="30"/>
      <c r="W62" s="176">
        <v>0</v>
      </c>
      <c r="Y62" s="416"/>
      <c r="Z62" s="415" t="str">
        <f>IFERROR(C30/O62,"")</f>
        <v/>
      </c>
      <c r="AA62" s="415" t="str">
        <f t="shared" si="45"/>
        <v/>
      </c>
      <c r="AB62" s="415" t="str">
        <f t="shared" si="45"/>
        <v/>
      </c>
      <c r="AC62" s="415" t="str">
        <f t="shared" si="45"/>
        <v/>
      </c>
      <c r="AD62" s="415" t="str">
        <f t="shared" si="45"/>
        <v/>
      </c>
      <c r="AE62" s="415" t="str">
        <f t="shared" si="45"/>
        <v/>
      </c>
      <c r="AF62" s="409"/>
      <c r="AG62" s="416"/>
      <c r="AH62" s="415" t="str">
        <f t="shared" si="46"/>
        <v/>
      </c>
    </row>
    <row r="63" spans="13:34" x14ac:dyDescent="0.25">
      <c r="M63" s="56" t="s">
        <v>231</v>
      </c>
      <c r="N63" s="33"/>
      <c r="O63" s="33"/>
      <c r="P63" s="32" t="str">
        <f>IFERROR(P62-P60,"TBD")</f>
        <v>TBD</v>
      </c>
      <c r="Q63" s="32" t="str">
        <f>IFERROR(Q62-Q60,"TBD")</f>
        <v>TBD</v>
      </c>
      <c r="R63" s="32" t="str">
        <f>IFERROR(R62-R60,"TBD")</f>
        <v>TBD</v>
      </c>
      <c r="S63" s="32" t="str">
        <f>IFERROR(S62-S60,"TBD")</f>
        <v>TBD</v>
      </c>
      <c r="T63" s="32" t="str">
        <f>IFERROR(T62-T60,"TBD")</f>
        <v>TBD</v>
      </c>
      <c r="V63" s="33"/>
      <c r="W63" s="32" t="str">
        <f>IFERROR(W62-W60,"TBD")</f>
        <v>TBD</v>
      </c>
      <c r="Y63" s="414"/>
      <c r="Z63" s="414"/>
      <c r="AA63" s="417" t="str">
        <f t="shared" si="45"/>
        <v/>
      </c>
      <c r="AB63" s="417" t="str">
        <f t="shared" si="45"/>
        <v/>
      </c>
      <c r="AC63" s="417" t="str">
        <f t="shared" si="45"/>
        <v/>
      </c>
      <c r="AD63" s="417" t="str">
        <f t="shared" si="45"/>
        <v/>
      </c>
      <c r="AE63" s="417" t="str">
        <f t="shared" si="45"/>
        <v/>
      </c>
      <c r="AF63" s="409"/>
      <c r="AG63" s="414"/>
      <c r="AH63" s="417" t="str">
        <f t="shared" si="46"/>
        <v/>
      </c>
    </row>
    <row r="64" spans="13:34" x14ac:dyDescent="0.25">
      <c r="M64" s="57"/>
      <c r="Y64" s="409"/>
      <c r="Z64" s="409"/>
      <c r="AA64" s="409"/>
      <c r="AB64" s="409"/>
      <c r="AC64" s="409"/>
      <c r="AD64" s="409"/>
      <c r="AE64" s="409"/>
      <c r="AF64" s="409"/>
      <c r="AG64" s="409"/>
      <c r="AH64" s="409"/>
    </row>
    <row r="65" spans="1:34" x14ac:dyDescent="0.25">
      <c r="M65" s="54" t="s">
        <v>232</v>
      </c>
      <c r="N65" s="30"/>
      <c r="O65" s="47">
        <f>SUM(P65,W65)</f>
        <v>0</v>
      </c>
      <c r="P65" s="47" t="str">
        <f>IFERROR(SUMPRODUCT(Q65:T65,E$13:H$13)/D$13,"TBD")</f>
        <v>TBD</v>
      </c>
      <c r="Q65" s="176">
        <v>0</v>
      </c>
      <c r="R65" s="176">
        <v>0</v>
      </c>
      <c r="S65" s="176">
        <v>0</v>
      </c>
      <c r="T65" s="176">
        <v>0</v>
      </c>
      <c r="V65" s="30"/>
      <c r="W65" s="176">
        <v>0</v>
      </c>
      <c r="Y65" s="416"/>
      <c r="Z65" s="415" t="str">
        <f t="shared" ref="Z65:AE66" si="47">IFERROR(C33/O65,"")</f>
        <v/>
      </c>
      <c r="AA65" s="415" t="str">
        <f t="shared" si="47"/>
        <v/>
      </c>
      <c r="AB65" s="415" t="str">
        <f t="shared" si="47"/>
        <v/>
      </c>
      <c r="AC65" s="415" t="str">
        <f t="shared" si="47"/>
        <v/>
      </c>
      <c r="AD65" s="415" t="str">
        <f t="shared" si="47"/>
        <v/>
      </c>
      <c r="AE65" s="415" t="str">
        <f t="shared" si="47"/>
        <v/>
      </c>
      <c r="AF65" s="409"/>
      <c r="AG65" s="416"/>
      <c r="AH65" s="415" t="str">
        <f>IFERROR(K33/W65,"")</f>
        <v/>
      </c>
    </row>
    <row r="66" spans="1:34" x14ac:dyDescent="0.25">
      <c r="M66" s="56" t="s">
        <v>233</v>
      </c>
      <c r="N66" s="33"/>
      <c r="O66" s="32">
        <f>SUM(P66,W66)</f>
        <v>0</v>
      </c>
      <c r="P66" s="32" t="str">
        <f>IFERROR(SUMPRODUCT(Q66:T66,E$13:H$13)/D$13,"TBD")</f>
        <v>TBD</v>
      </c>
      <c r="Q66" s="177">
        <v>0</v>
      </c>
      <c r="R66" s="177">
        <v>0</v>
      </c>
      <c r="S66" s="177">
        <v>0</v>
      </c>
      <c r="T66" s="177">
        <v>0</v>
      </c>
      <c r="V66" s="33"/>
      <c r="W66" s="177">
        <v>0</v>
      </c>
      <c r="Y66" s="414"/>
      <c r="Z66" s="417" t="str">
        <f t="shared" si="47"/>
        <v/>
      </c>
      <c r="AA66" s="417" t="str">
        <f t="shared" si="47"/>
        <v/>
      </c>
      <c r="AB66" s="417" t="str">
        <f t="shared" si="47"/>
        <v/>
      </c>
      <c r="AC66" s="417" t="str">
        <f t="shared" si="47"/>
        <v/>
      </c>
      <c r="AD66" s="417" t="str">
        <f t="shared" si="47"/>
        <v/>
      </c>
      <c r="AE66" s="417" t="str">
        <f t="shared" si="47"/>
        <v/>
      </c>
      <c r="AF66" s="409"/>
      <c r="AG66" s="414"/>
      <c r="AH66" s="417" t="str">
        <f>IFERROR(K34/W66,"")</f>
        <v/>
      </c>
    </row>
    <row r="67" spans="1:34" x14ac:dyDescent="0.25">
      <c r="M67" s="57"/>
      <c r="Y67" s="409"/>
      <c r="Z67" s="409"/>
      <c r="AA67" s="409"/>
      <c r="AB67" s="420"/>
      <c r="AC67" s="420"/>
      <c r="AD67" s="420"/>
      <c r="AE67" s="420"/>
      <c r="AF67" s="409"/>
      <c r="AG67" s="409"/>
      <c r="AH67" s="420"/>
    </row>
    <row r="68" spans="1:34" x14ac:dyDescent="0.25">
      <c r="M68" s="53" t="s">
        <v>234</v>
      </c>
      <c r="N68" s="22"/>
      <c r="O68" s="48">
        <f>SUM(P68,W68)</f>
        <v>0</v>
      </c>
      <c r="P68" s="48" t="str">
        <f>IFERROR(SUMPRODUCT(Q68:T68,E$13:H$13)/D$13,"TBD")</f>
        <v>TBD</v>
      </c>
      <c r="Q68" s="178">
        <v>0</v>
      </c>
      <c r="R68" s="178">
        <v>0</v>
      </c>
      <c r="S68" s="178">
        <v>0</v>
      </c>
      <c r="T68" s="178">
        <v>0</v>
      </c>
      <c r="V68" s="22"/>
      <c r="W68" s="178">
        <v>0</v>
      </c>
      <c r="Y68" s="407"/>
      <c r="Z68" s="408" t="str">
        <f t="shared" ref="Z68:AE68" si="48">IFERROR(C36/O68,"")</f>
        <v/>
      </c>
      <c r="AA68" s="408" t="str">
        <f t="shared" si="48"/>
        <v/>
      </c>
      <c r="AB68" s="408" t="str">
        <f t="shared" si="48"/>
        <v/>
      </c>
      <c r="AC68" s="408" t="str">
        <f t="shared" si="48"/>
        <v/>
      </c>
      <c r="AD68" s="408" t="str">
        <f t="shared" si="48"/>
        <v/>
      </c>
      <c r="AE68" s="408" t="str">
        <f t="shared" si="48"/>
        <v/>
      </c>
      <c r="AF68" s="409"/>
      <c r="AG68" s="407"/>
      <c r="AH68" s="408" t="str">
        <f>IFERROR(K36/W68,"")</f>
        <v/>
      </c>
    </row>
    <row r="69" spans="1:34" x14ac:dyDescent="0.25">
      <c r="M69" s="57"/>
      <c r="Y69" s="409"/>
      <c r="Z69" s="409"/>
      <c r="AA69" s="409"/>
      <c r="AB69" s="409"/>
      <c r="AC69" s="409"/>
      <c r="AD69" s="409"/>
      <c r="AE69" s="409"/>
      <c r="AF69" s="409"/>
      <c r="AG69" s="409"/>
      <c r="AH69" s="409"/>
    </row>
    <row r="70" spans="1:34" x14ac:dyDescent="0.25">
      <c r="M70" s="53" t="s">
        <v>235</v>
      </c>
      <c r="N70" s="22"/>
      <c r="O70" s="48">
        <f>SUM(P70,W70)</f>
        <v>0</v>
      </c>
      <c r="P70" s="48" t="str">
        <f>IFERROR(SUMPRODUCT(Q70:T70,E$13:H$13)/D$13,"TBD")</f>
        <v>TBD</v>
      </c>
      <c r="Q70" s="48">
        <f>SUM(Q62,Q65:Q66,Q68)</f>
        <v>0</v>
      </c>
      <c r="R70" s="48">
        <f t="shared" ref="R70:T70" si="49">SUM(R62,R65:R66,R68)</f>
        <v>0</v>
      </c>
      <c r="S70" s="48">
        <f t="shared" si="49"/>
        <v>0</v>
      </c>
      <c r="T70" s="48">
        <f t="shared" si="49"/>
        <v>0</v>
      </c>
      <c r="V70" s="22"/>
      <c r="W70" s="48">
        <f t="shared" ref="W70" si="50">SUM(W62,W65:W66,W68)</f>
        <v>0</v>
      </c>
      <c r="Y70" s="407"/>
      <c r="Z70" s="408" t="str">
        <f t="shared" ref="Z70:AE70" si="51">IFERROR(C38/O70,"")</f>
        <v/>
      </c>
      <c r="AA70" s="408" t="str">
        <f t="shared" si="51"/>
        <v/>
      </c>
      <c r="AB70" s="408" t="str">
        <f t="shared" si="51"/>
        <v/>
      </c>
      <c r="AC70" s="408" t="str">
        <f t="shared" si="51"/>
        <v/>
      </c>
      <c r="AD70" s="408" t="str">
        <f t="shared" si="51"/>
        <v/>
      </c>
      <c r="AE70" s="408" t="str">
        <f t="shared" si="51"/>
        <v/>
      </c>
      <c r="AF70" s="409"/>
      <c r="AG70" s="407"/>
      <c r="AH70" s="408" t="str">
        <f>IFERROR(K38/W70,"")</f>
        <v/>
      </c>
    </row>
    <row r="71" spans="1:34" x14ac:dyDescent="0.25">
      <c r="E71" s="34"/>
      <c r="F71" s="34"/>
      <c r="G71" s="34"/>
      <c r="H71" s="34"/>
      <c r="K71" s="34"/>
    </row>
    <row r="72" spans="1:34" x14ac:dyDescent="0.25">
      <c r="E72" s="34"/>
      <c r="F72" s="34"/>
      <c r="G72" s="34"/>
      <c r="H72" s="34"/>
      <c r="K72" s="34"/>
    </row>
    <row r="73" spans="1:34" ht="21.75" thickBot="1" x14ac:dyDescent="0.4">
      <c r="A73" s="131" t="s">
        <v>49</v>
      </c>
      <c r="B73" s="131"/>
      <c r="C73" s="131"/>
      <c r="D73" s="134"/>
      <c r="E73" s="131"/>
    </row>
    <row r="74" spans="1:34" ht="16.5" thickTop="1" x14ac:dyDescent="0.25">
      <c r="A74" s="82"/>
      <c r="B74" s="82"/>
      <c r="C74" s="82"/>
      <c r="D74" s="82"/>
      <c r="E74" s="82"/>
      <c r="F74" s="82"/>
      <c r="G74" s="82"/>
      <c r="H74" s="82"/>
      <c r="I74" s="82"/>
      <c r="J74" s="82"/>
      <c r="K74" s="82"/>
      <c r="L74" s="82"/>
      <c r="M74" s="82"/>
      <c r="N74" s="82"/>
      <c r="O74" s="82"/>
    </row>
    <row r="75" spans="1:34" ht="15.75" x14ac:dyDescent="0.25">
      <c r="A75" s="600"/>
      <c r="B75" s="601"/>
      <c r="C75" s="601"/>
      <c r="D75" s="601"/>
      <c r="E75" s="601"/>
      <c r="F75" s="601"/>
      <c r="G75" s="601"/>
      <c r="H75" s="601"/>
      <c r="I75" s="601"/>
      <c r="J75" s="601"/>
      <c r="K75" s="601"/>
      <c r="L75" s="601"/>
      <c r="M75" s="601"/>
      <c r="N75" s="601"/>
      <c r="O75" s="601"/>
      <c r="P75" s="601"/>
      <c r="Q75" s="601"/>
      <c r="R75" s="601"/>
      <c r="S75" s="601"/>
      <c r="T75" s="601"/>
      <c r="U75" s="601"/>
      <c r="V75" s="601"/>
      <c r="W75" s="601"/>
    </row>
    <row r="76" spans="1:34" ht="15.75" x14ac:dyDescent="0.25">
      <c r="A76" s="600"/>
      <c r="B76" s="601"/>
      <c r="C76" s="601"/>
      <c r="D76" s="601"/>
      <c r="E76" s="601"/>
      <c r="F76" s="601"/>
      <c r="G76" s="601"/>
      <c r="H76" s="601"/>
      <c r="I76" s="601"/>
      <c r="J76" s="601"/>
      <c r="K76" s="601"/>
      <c r="L76" s="601"/>
      <c r="M76" s="601"/>
      <c r="N76" s="601"/>
      <c r="O76" s="601"/>
      <c r="P76" s="601"/>
      <c r="Q76" s="601"/>
      <c r="R76" s="601"/>
      <c r="S76" s="601"/>
      <c r="T76" s="601"/>
      <c r="U76" s="601"/>
      <c r="V76" s="601"/>
      <c r="W76" s="601"/>
    </row>
    <row r="77" spans="1:34" ht="15.75" x14ac:dyDescent="0.25">
      <c r="A77" s="600"/>
      <c r="B77" s="601"/>
      <c r="C77" s="601"/>
      <c r="D77" s="601"/>
      <c r="E77" s="601"/>
      <c r="F77" s="601"/>
      <c r="G77" s="601"/>
      <c r="H77" s="601"/>
      <c r="I77" s="601"/>
      <c r="J77" s="601"/>
      <c r="K77" s="601"/>
      <c r="L77" s="601"/>
      <c r="M77" s="601"/>
      <c r="N77" s="601"/>
      <c r="O77" s="601"/>
      <c r="P77" s="601"/>
      <c r="Q77" s="601"/>
      <c r="R77" s="601"/>
      <c r="S77" s="601"/>
      <c r="T77" s="601"/>
      <c r="U77" s="601"/>
      <c r="V77" s="601"/>
      <c r="W77" s="601"/>
    </row>
  </sheetData>
  <mergeCells count="52">
    <mergeCell ref="N10:N12"/>
    <mergeCell ref="P11:P12"/>
    <mergeCell ref="Q11:Q12"/>
    <mergeCell ref="R11:R12"/>
    <mergeCell ref="S11:S12"/>
    <mergeCell ref="B6:M6"/>
    <mergeCell ref="B5:M5"/>
    <mergeCell ref="B4:M4"/>
    <mergeCell ref="B3:M3"/>
    <mergeCell ref="B10:B12"/>
    <mergeCell ref="J10:J12"/>
    <mergeCell ref="D11:D12"/>
    <mergeCell ref="E11:E12"/>
    <mergeCell ref="F11:F12"/>
    <mergeCell ref="G11:G12"/>
    <mergeCell ref="H11:H12"/>
    <mergeCell ref="C11:C12"/>
    <mergeCell ref="K11:K12"/>
    <mergeCell ref="A75:W75"/>
    <mergeCell ref="A76:W76"/>
    <mergeCell ref="A77:W77"/>
    <mergeCell ref="AH11:AH12"/>
    <mergeCell ref="Y10:Y12"/>
    <mergeCell ref="AG10:AG12"/>
    <mergeCell ref="Z11:Z12"/>
    <mergeCell ref="AA11:AA12"/>
    <mergeCell ref="AB11:AB12"/>
    <mergeCell ref="AC11:AC12"/>
    <mergeCell ref="AD11:AD12"/>
    <mergeCell ref="AE11:AE12"/>
    <mergeCell ref="O11:O12"/>
    <mergeCell ref="V10:V12"/>
    <mergeCell ref="W11:W12"/>
    <mergeCell ref="T11:T12"/>
    <mergeCell ref="N42:N44"/>
    <mergeCell ref="V42:V44"/>
    <mergeCell ref="O43:O44"/>
    <mergeCell ref="P43:P44"/>
    <mergeCell ref="Q43:Q44"/>
    <mergeCell ref="R43:R44"/>
    <mergeCell ref="S43:S44"/>
    <mergeCell ref="T43:T44"/>
    <mergeCell ref="AH43:AH44"/>
    <mergeCell ref="W43:W44"/>
    <mergeCell ref="Y42:Y44"/>
    <mergeCell ref="AG42:AG44"/>
    <mergeCell ref="Z43:Z44"/>
    <mergeCell ref="AA43:AA44"/>
    <mergeCell ref="AB43:AB44"/>
    <mergeCell ref="AC43:AC44"/>
    <mergeCell ref="AD43:AD44"/>
    <mergeCell ref="AE43:AE44"/>
  </mergeCells>
  <printOptions horizontalCentered="1"/>
  <pageMargins left="0.25" right="0.25" top="0.75" bottom="0.75" header="0.25" footer="0.25"/>
  <pageSetup scale="30" orientation="landscape" horizontalDpi="1200" verticalDpi="1200" r:id="rId1"/>
  <headerFooter>
    <oddFooter>&amp;L2026 IND &amp;&amp; SG ACA MEDICAL RATE FILINGS -- COMMON EXHIBITS&amp;R03/21/2025</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C0B8B-6A83-4801-90FE-EC18DACBE7AD}">
  <sheetPr codeName="Sheet9">
    <tabColor theme="9" tint="-0.499984740745262"/>
    <pageSetUpPr fitToPage="1"/>
  </sheetPr>
  <dimension ref="A1:AG46"/>
  <sheetViews>
    <sheetView showGridLines="0" zoomScale="70" zoomScaleNormal="70" workbookViewId="0">
      <pane xSplit="1" ySplit="11" topLeftCell="F12" activePane="bottomRight" state="frozen"/>
      <selection pane="topRight"/>
      <selection pane="bottomLeft"/>
      <selection pane="bottomRight"/>
    </sheetView>
  </sheetViews>
  <sheetFormatPr defaultRowHeight="15" x14ac:dyDescent="0.25"/>
  <cols>
    <col min="1" max="1" width="59.140625" bestFit="1" customWidth="1"/>
    <col min="2" max="2" width="9.85546875" customWidth="1"/>
    <col min="4" max="4" width="9.85546875" bestFit="1" customWidth="1"/>
    <col min="6" max="6" width="9.85546875" bestFit="1" customWidth="1"/>
    <col min="8" max="8" width="9.85546875" bestFit="1" customWidth="1"/>
    <col min="10" max="10" width="9.85546875" bestFit="1" customWidth="1"/>
    <col min="12" max="12" width="9.85546875" bestFit="1" customWidth="1"/>
    <col min="14" max="14" width="9.85546875" bestFit="1" customWidth="1"/>
    <col min="16" max="16" width="9.85546875" customWidth="1"/>
    <col min="18" max="18" width="9.85546875" bestFit="1" customWidth="1"/>
    <col min="20" max="20" width="9.85546875" bestFit="1" customWidth="1"/>
    <col min="22" max="22" width="9.85546875" bestFit="1" customWidth="1"/>
    <col min="24" max="24" width="9.85546875" bestFit="1" customWidth="1"/>
    <col min="26" max="26" width="9.85546875" bestFit="1" customWidth="1"/>
    <col min="28" max="28" width="9.85546875" bestFit="1" customWidth="1"/>
    <col min="30" max="30" width="9.85546875" bestFit="1" customWidth="1"/>
    <col min="32" max="32" width="9.85546875" bestFit="1" customWidth="1"/>
  </cols>
  <sheetData>
    <row r="1" spans="1:33" ht="26.25" x14ac:dyDescent="0.4">
      <c r="A1" s="272" t="s">
        <v>300</v>
      </c>
    </row>
    <row r="2" spans="1:33" x14ac:dyDescent="0.25">
      <c r="A2" s="261"/>
    </row>
    <row r="3" spans="1:33" ht="18.75" x14ac:dyDescent="0.3">
      <c r="A3" s="98" t="s">
        <v>10</v>
      </c>
      <c r="B3" s="617" t="str">
        <f>CarrierName</f>
        <v>ABC Company</v>
      </c>
      <c r="C3" s="619"/>
      <c r="D3" s="619"/>
      <c r="E3" s="619"/>
      <c r="F3" s="619"/>
      <c r="G3" s="619"/>
      <c r="H3" s="619"/>
      <c r="I3" s="619"/>
      <c r="J3" s="619"/>
      <c r="K3" s="619"/>
      <c r="L3" s="619"/>
      <c r="M3" s="620"/>
    </row>
    <row r="4" spans="1:33" ht="18.75" x14ac:dyDescent="0.3">
      <c r="A4" s="98" t="s">
        <v>0</v>
      </c>
      <c r="B4" s="617" t="str">
        <f>Market</f>
        <v>Individual</v>
      </c>
      <c r="C4" s="619"/>
      <c r="D4" s="619"/>
      <c r="E4" s="619"/>
      <c r="F4" s="619"/>
      <c r="G4" s="619"/>
      <c r="H4" s="619"/>
      <c r="I4" s="619"/>
      <c r="J4" s="619"/>
      <c r="K4" s="619"/>
      <c r="L4" s="619"/>
      <c r="M4" s="620"/>
    </row>
    <row r="5" spans="1:33" ht="18.75" x14ac:dyDescent="0.3">
      <c r="A5" s="98" t="s">
        <v>12</v>
      </c>
      <c r="B5" s="617">
        <f>PlanYear</f>
        <v>2026</v>
      </c>
      <c r="C5" s="619"/>
      <c r="D5" s="619"/>
      <c r="E5" s="619"/>
      <c r="F5" s="619"/>
      <c r="G5" s="619"/>
      <c r="H5" s="619"/>
      <c r="I5" s="619"/>
      <c r="J5" s="619"/>
      <c r="K5" s="619"/>
      <c r="L5" s="619"/>
      <c r="M5" s="620"/>
    </row>
    <row r="6" spans="1:33" ht="18.75" x14ac:dyDescent="0.3">
      <c r="A6" s="98" t="s">
        <v>13</v>
      </c>
      <c r="B6" s="617">
        <f>ExperYear</f>
        <v>2024</v>
      </c>
      <c r="C6" s="619"/>
      <c r="D6" s="619"/>
      <c r="E6" s="619"/>
      <c r="F6" s="619"/>
      <c r="G6" s="619"/>
      <c r="H6" s="619"/>
      <c r="I6" s="619"/>
      <c r="J6" s="619"/>
      <c r="K6" s="619"/>
      <c r="L6" s="619"/>
      <c r="M6" s="620"/>
    </row>
    <row r="7" spans="1:33" x14ac:dyDescent="0.25">
      <c r="A7" s="261"/>
    </row>
    <row r="9" spans="1:33" ht="30" x14ac:dyDescent="0.25">
      <c r="B9" s="43" t="s">
        <v>152</v>
      </c>
      <c r="C9" s="19"/>
      <c r="D9" s="19"/>
      <c r="E9" s="19"/>
      <c r="F9" s="19"/>
      <c r="G9" s="19"/>
      <c r="H9" s="59" t="s">
        <v>250</v>
      </c>
      <c r="I9" s="19"/>
      <c r="J9" s="19"/>
      <c r="K9" s="19"/>
      <c r="L9" s="19"/>
      <c r="M9" s="19"/>
      <c r="N9" s="19"/>
      <c r="O9" s="19"/>
      <c r="P9" s="19"/>
      <c r="Q9" s="19"/>
      <c r="R9" s="59" t="s">
        <v>159</v>
      </c>
      <c r="S9" s="59"/>
      <c r="T9" s="59"/>
      <c r="U9" s="59"/>
      <c r="V9" s="59"/>
      <c r="W9" s="59"/>
      <c r="X9" s="59"/>
      <c r="Y9" s="59"/>
      <c r="Z9" s="624" t="str">
        <f>F10&amp;" EXPERIENCE to "&amp;P10&amp;" PROJECTED"</f>
        <v>2024 EXPERIENCE to 2026 PROJECTED</v>
      </c>
      <c r="AA9" s="625"/>
      <c r="AB9" s="59" t="s">
        <v>154</v>
      </c>
      <c r="AC9" s="59"/>
      <c r="AD9" s="59"/>
      <c r="AE9" s="59"/>
      <c r="AF9" s="59"/>
      <c r="AG9" s="59"/>
    </row>
    <row r="10" spans="1:33" x14ac:dyDescent="0.25">
      <c r="B10" s="19">
        <f>D10-1</f>
        <v>2022</v>
      </c>
      <c r="C10" s="19"/>
      <c r="D10" s="19">
        <f>F10-1</f>
        <v>2023</v>
      </c>
      <c r="E10" s="19"/>
      <c r="F10" s="19">
        <f>ExperYear</f>
        <v>2024</v>
      </c>
      <c r="G10" s="19"/>
      <c r="H10" s="19">
        <f>J10-1</f>
        <v>2022</v>
      </c>
      <c r="I10" s="19"/>
      <c r="J10" s="19">
        <f>L10-1</f>
        <v>2023</v>
      </c>
      <c r="K10" s="19"/>
      <c r="L10" s="19">
        <f>N10-1</f>
        <v>2024</v>
      </c>
      <c r="M10" s="19"/>
      <c r="N10" s="19">
        <f>P10-1</f>
        <v>2025</v>
      </c>
      <c r="O10" s="19"/>
      <c r="P10" s="19">
        <f>PlanYear</f>
        <v>2026</v>
      </c>
      <c r="Q10" s="19"/>
      <c r="R10" s="19" t="str">
        <f>H10&amp;" to "&amp;J10</f>
        <v>2022 to 2023</v>
      </c>
      <c r="S10" s="19"/>
      <c r="T10" s="19" t="str">
        <f>J10&amp;" to "&amp;L10</f>
        <v>2023 to 2024</v>
      </c>
      <c r="U10" s="19"/>
      <c r="V10" s="19" t="str">
        <f>L10&amp;" to "&amp;N10</f>
        <v>2024 to 2025</v>
      </c>
      <c r="W10" s="19"/>
      <c r="X10" s="19" t="str">
        <f>N10&amp;" to "&amp;P10</f>
        <v>2025 to 2026</v>
      </c>
      <c r="Y10" s="19"/>
      <c r="Z10" s="626"/>
      <c r="AA10" s="627"/>
      <c r="AB10" s="19">
        <f>B10</f>
        <v>2022</v>
      </c>
      <c r="AC10" s="19"/>
      <c r="AD10" s="19">
        <f>D10</f>
        <v>2023</v>
      </c>
      <c r="AE10" s="19"/>
      <c r="AF10" s="19">
        <f>F10</f>
        <v>2024</v>
      </c>
      <c r="AG10" s="19"/>
    </row>
    <row r="11" spans="1:33" ht="30" x14ac:dyDescent="0.25">
      <c r="A11" s="20" t="s">
        <v>16</v>
      </c>
      <c r="B11" s="21" t="s">
        <v>171</v>
      </c>
      <c r="C11" s="21" t="s">
        <v>172</v>
      </c>
      <c r="D11" s="21" t="s">
        <v>171</v>
      </c>
      <c r="E11" s="21" t="s">
        <v>172</v>
      </c>
      <c r="F11" s="21" t="s">
        <v>171</v>
      </c>
      <c r="G11" s="21" t="s">
        <v>172</v>
      </c>
      <c r="H11" s="21" t="s">
        <v>171</v>
      </c>
      <c r="I11" s="21" t="s">
        <v>172</v>
      </c>
      <c r="J11" s="21" t="s">
        <v>171</v>
      </c>
      <c r="K11" s="21" t="s">
        <v>172</v>
      </c>
      <c r="L11" s="21" t="s">
        <v>171</v>
      </c>
      <c r="M11" s="21" t="s">
        <v>172</v>
      </c>
      <c r="N11" s="21" t="s">
        <v>171</v>
      </c>
      <c r="O11" s="21" t="s">
        <v>172</v>
      </c>
      <c r="P11" s="21" t="s">
        <v>171</v>
      </c>
      <c r="Q11" s="21" t="s">
        <v>172</v>
      </c>
      <c r="R11" s="21" t="s">
        <v>171</v>
      </c>
      <c r="S11" s="21" t="s">
        <v>172</v>
      </c>
      <c r="T11" s="21" t="s">
        <v>171</v>
      </c>
      <c r="U11" s="21" t="s">
        <v>172</v>
      </c>
      <c r="V11" s="21" t="s">
        <v>171</v>
      </c>
      <c r="W11" s="21" t="s">
        <v>172</v>
      </c>
      <c r="X11" s="21" t="s">
        <v>171</v>
      </c>
      <c r="Y11" s="21" t="s">
        <v>172</v>
      </c>
      <c r="Z11" s="21" t="s">
        <v>171</v>
      </c>
      <c r="AA11" s="21" t="s">
        <v>172</v>
      </c>
      <c r="AB11" s="21" t="s">
        <v>171</v>
      </c>
      <c r="AC11" s="21" t="s">
        <v>172</v>
      </c>
      <c r="AD11" s="21" t="s">
        <v>171</v>
      </c>
      <c r="AE11" s="21" t="s">
        <v>172</v>
      </c>
      <c r="AF11" s="21" t="s">
        <v>171</v>
      </c>
      <c r="AG11" s="21" t="s">
        <v>172</v>
      </c>
    </row>
    <row r="12" spans="1:33" x14ac:dyDescent="0.25">
      <c r="A12" t="s">
        <v>186</v>
      </c>
      <c r="B12" s="16"/>
      <c r="C12" s="11"/>
      <c r="D12" s="10"/>
      <c r="E12" s="13"/>
      <c r="F12" s="12"/>
      <c r="G12" s="17"/>
      <c r="H12" s="16"/>
      <c r="I12" s="11"/>
      <c r="J12" s="10"/>
      <c r="K12" s="13"/>
      <c r="L12" s="12"/>
      <c r="M12" s="11"/>
      <c r="N12" s="10"/>
      <c r="O12" s="13"/>
      <c r="P12" s="12"/>
      <c r="Q12" s="17"/>
      <c r="R12" s="16"/>
      <c r="S12" s="11"/>
      <c r="T12" s="10"/>
      <c r="U12" s="13"/>
      <c r="V12" s="12"/>
      <c r="W12" s="11"/>
      <c r="X12" s="10"/>
      <c r="Y12" s="17"/>
      <c r="Z12" s="16"/>
      <c r="AA12" s="17"/>
      <c r="AB12" s="16"/>
      <c r="AC12" s="11"/>
      <c r="AD12" s="10"/>
      <c r="AE12" s="13"/>
      <c r="AF12" s="12"/>
      <c r="AG12" s="17"/>
    </row>
    <row r="13" spans="1:33" x14ac:dyDescent="0.25">
      <c r="A13" s="8" t="s">
        <v>187</v>
      </c>
      <c r="B13" s="180" t="str">
        <f>IFERROR(C13/C$38,"TBD ")</f>
        <v xml:space="preserve">TBD </v>
      </c>
      <c r="C13" s="181">
        <v>0</v>
      </c>
      <c r="D13" s="182" t="str">
        <f t="shared" ref="D13:D14" si="0">IFERROR(E13/E$38,"TBD ")</f>
        <v xml:space="preserve">TBD </v>
      </c>
      <c r="E13" s="183">
        <v>0</v>
      </c>
      <c r="F13" s="184" t="str">
        <f t="shared" ref="F13:F14" si="1">IFERROR(G13/G$38,"TBD ")</f>
        <v xml:space="preserve">TBD </v>
      </c>
      <c r="G13" s="185">
        <v>0</v>
      </c>
      <c r="H13" s="180" t="str">
        <f t="shared" ref="H13:H14" si="2">IFERROR(I13/I$38,"TBD ")</f>
        <v xml:space="preserve">TBD </v>
      </c>
      <c r="I13" s="181">
        <v>0</v>
      </c>
      <c r="J13" s="182" t="str">
        <f t="shared" ref="J13" si="3">IFERROR(K13/K$38,"TBD ")</f>
        <v xml:space="preserve">TBD </v>
      </c>
      <c r="K13" s="183">
        <v>0</v>
      </c>
      <c r="L13" s="184" t="str">
        <f t="shared" ref="L13" si="4">IFERROR(M13/M$38,"TBD ")</f>
        <v xml:space="preserve">TBD </v>
      </c>
      <c r="M13" s="181">
        <v>0</v>
      </c>
      <c r="N13" s="182" t="str">
        <f t="shared" ref="N13" si="5">IFERROR(O13/O$38,"TBD ")</f>
        <v xml:space="preserve">TBD </v>
      </c>
      <c r="O13" s="183">
        <v>0</v>
      </c>
      <c r="P13" s="184" t="str">
        <f t="shared" ref="P13" si="6">IFERROR(Q13/Q$38,"TBD ")</f>
        <v xml:space="preserve">TBD </v>
      </c>
      <c r="Q13" s="185">
        <v>0</v>
      </c>
      <c r="R13" s="385" t="str">
        <f>IFERROR(J13-H13,"TBD")</f>
        <v>TBD</v>
      </c>
      <c r="S13" s="386" t="str">
        <f>IFERROR(K13/I13-1,"TBD")</f>
        <v>TBD</v>
      </c>
      <c r="T13" s="393" t="str">
        <f>IFERROR(L13-J13,"TBD")</f>
        <v>TBD</v>
      </c>
      <c r="U13" s="394" t="str">
        <f>IFERROR(M13/K13-1,"TBD")</f>
        <v>TBD</v>
      </c>
      <c r="V13" s="395" t="str">
        <f>IFERROR(N13-L13,"TBD")</f>
        <v>TBD</v>
      </c>
      <c r="W13" s="386" t="str">
        <f>IFERROR(O13/M13-1,"TBD")</f>
        <v>TBD</v>
      </c>
      <c r="X13" s="393" t="str">
        <f>IFERROR(P13-N13,"TBD")</f>
        <v>TBD</v>
      </c>
      <c r="Y13" s="396" t="str">
        <f>IFERROR(Q13/O13-1,"TBD")</f>
        <v>TBD</v>
      </c>
      <c r="Z13" s="385" t="str">
        <f>IFERROR(P13-F13,"TBD")</f>
        <v>TBD</v>
      </c>
      <c r="AA13" s="396" t="str">
        <f>IFERROR(Q13/G13-1,"TBD")</f>
        <v>TBD</v>
      </c>
      <c r="AB13" s="385" t="str">
        <f>IFERROR(H13-B13,"TBD")</f>
        <v>TBD</v>
      </c>
      <c r="AC13" s="395" t="str">
        <f>IFERROR(I13/C13-1,"TBD")</f>
        <v>TBD</v>
      </c>
      <c r="AD13" s="393" t="str">
        <f>IFERROR(J13-D13,"TBD")</f>
        <v>TBD</v>
      </c>
      <c r="AE13" s="394" t="str">
        <f>IFERROR(K13/E13-1,"TBD")</f>
        <v>TBD</v>
      </c>
      <c r="AF13" s="395" t="str">
        <f>IFERROR(L13-F13,"TBD")</f>
        <v>TBD</v>
      </c>
      <c r="AG13" s="396" t="str">
        <f>IFERROR(M13/G13-1,"TBD")</f>
        <v>TBD</v>
      </c>
    </row>
    <row r="14" spans="1:33" x14ac:dyDescent="0.25">
      <c r="A14" s="8" t="s">
        <v>188</v>
      </c>
      <c r="B14" s="180" t="str">
        <f>IFERROR(C14/C$38,"TBD ")</f>
        <v xml:space="preserve">TBD </v>
      </c>
      <c r="C14" s="181">
        <v>0</v>
      </c>
      <c r="D14" s="182" t="str">
        <f t="shared" si="0"/>
        <v xml:space="preserve">TBD </v>
      </c>
      <c r="E14" s="183">
        <v>0</v>
      </c>
      <c r="F14" s="184" t="str">
        <f t="shared" si="1"/>
        <v xml:space="preserve">TBD </v>
      </c>
      <c r="G14" s="185">
        <v>0</v>
      </c>
      <c r="H14" s="180" t="str">
        <f t="shared" si="2"/>
        <v xml:space="preserve">TBD </v>
      </c>
      <c r="I14" s="181">
        <v>0</v>
      </c>
      <c r="J14" s="182" t="str">
        <f t="shared" ref="J14" si="7">IFERROR(K14/K$38,"TBD ")</f>
        <v xml:space="preserve">TBD </v>
      </c>
      <c r="K14" s="183">
        <v>0</v>
      </c>
      <c r="L14" s="184" t="str">
        <f t="shared" ref="L14" si="8">IFERROR(M14/M$38,"TBD ")</f>
        <v xml:space="preserve">TBD </v>
      </c>
      <c r="M14" s="181">
        <v>0</v>
      </c>
      <c r="N14" s="182" t="str">
        <f t="shared" ref="N14" si="9">IFERROR(O14/O$38,"TBD ")</f>
        <v xml:space="preserve">TBD </v>
      </c>
      <c r="O14" s="183">
        <v>0</v>
      </c>
      <c r="P14" s="184" t="str">
        <f t="shared" ref="P14" si="10">IFERROR(Q14/Q$38,"TBD ")</f>
        <v xml:space="preserve">TBD </v>
      </c>
      <c r="Q14" s="185">
        <v>0</v>
      </c>
      <c r="R14" s="385" t="str">
        <f t="shared" ref="R14:R18" si="11">IFERROR(J14-H14,"TBD")</f>
        <v>TBD</v>
      </c>
      <c r="S14" s="386" t="str">
        <f t="shared" ref="S14:S18" si="12">IFERROR(K14/I14-1,"TBD")</f>
        <v>TBD</v>
      </c>
      <c r="T14" s="393" t="str">
        <f t="shared" ref="T14:T18" si="13">IFERROR(L14-J14,"TBD")</f>
        <v>TBD</v>
      </c>
      <c r="U14" s="394" t="str">
        <f t="shared" ref="U14:U18" si="14">IFERROR(M14/K14-1,"TBD")</f>
        <v>TBD</v>
      </c>
      <c r="V14" s="395" t="str">
        <f t="shared" ref="V14:V18" si="15">IFERROR(N14-L14,"TBD")</f>
        <v>TBD</v>
      </c>
      <c r="W14" s="386" t="str">
        <f t="shared" ref="W14:W18" si="16">IFERROR(O14/M14-1,"TBD")</f>
        <v>TBD</v>
      </c>
      <c r="X14" s="393" t="str">
        <f t="shared" ref="X14:X18" si="17">IFERROR(P14-N14,"TBD")</f>
        <v>TBD</v>
      </c>
      <c r="Y14" s="396" t="str">
        <f t="shared" ref="Y14:Y18" si="18">IFERROR(Q14/O14-1,"TBD")</f>
        <v>TBD</v>
      </c>
      <c r="Z14" s="385" t="str">
        <f t="shared" ref="Z14:Z18" si="19">IFERROR(P14-F14,"TBD")</f>
        <v>TBD</v>
      </c>
      <c r="AA14" s="396" t="str">
        <f t="shared" ref="AA14:AA18" si="20">IFERROR(Q14/G14-1,"TBD")</f>
        <v>TBD</v>
      </c>
      <c r="AB14" s="385" t="str">
        <f t="shared" ref="AB14:AB18" si="21">IFERROR(H14-B14,"TBD")</f>
        <v>TBD</v>
      </c>
      <c r="AC14" s="395" t="str">
        <f t="shared" ref="AC14:AC18" si="22">IFERROR(I14/C14-1,"TBD")</f>
        <v>TBD</v>
      </c>
      <c r="AD14" s="393" t="str">
        <f t="shared" ref="AD14:AD18" si="23">IFERROR(J14-D14,"TBD")</f>
        <v>TBD</v>
      </c>
      <c r="AE14" s="394" t="str">
        <f t="shared" ref="AE14:AE18" si="24">IFERROR(K14/E14-1,"TBD")</f>
        <v>TBD</v>
      </c>
      <c r="AF14" s="395" t="str">
        <f t="shared" ref="AF14:AF18" si="25">IFERROR(L14-F14,"TBD")</f>
        <v>TBD</v>
      </c>
      <c r="AG14" s="396" t="str">
        <f t="shared" ref="AG14:AG18" si="26">IFERROR(M14/G14-1,"TBD")</f>
        <v>TBD</v>
      </c>
    </row>
    <row r="15" spans="1:33" x14ac:dyDescent="0.25">
      <c r="A15" s="8" t="s">
        <v>189</v>
      </c>
      <c r="B15" s="186">
        <v>0</v>
      </c>
      <c r="C15" s="141">
        <f>B15*C$38</f>
        <v>0</v>
      </c>
      <c r="D15" s="187">
        <v>0</v>
      </c>
      <c r="E15" s="142">
        <f>D15*E$38</f>
        <v>0</v>
      </c>
      <c r="F15" s="188">
        <v>0</v>
      </c>
      <c r="G15" s="189">
        <f>F15*G$38</f>
        <v>0</v>
      </c>
      <c r="H15" s="186">
        <v>0</v>
      </c>
      <c r="I15" s="141">
        <f>H15*I$38</f>
        <v>0</v>
      </c>
      <c r="J15" s="187">
        <v>0</v>
      </c>
      <c r="K15" s="142">
        <f>J15*K$38</f>
        <v>0</v>
      </c>
      <c r="L15" s="188">
        <v>0</v>
      </c>
      <c r="M15" s="141">
        <f>L15*M$38</f>
        <v>0</v>
      </c>
      <c r="N15" s="187">
        <v>0</v>
      </c>
      <c r="O15" s="142">
        <f>N15*O$38</f>
        <v>0</v>
      </c>
      <c r="P15" s="188">
        <v>0</v>
      </c>
      <c r="Q15" s="189">
        <f>P15*Q$38</f>
        <v>0</v>
      </c>
      <c r="R15" s="385">
        <f t="shared" si="11"/>
        <v>0</v>
      </c>
      <c r="S15" s="386" t="str">
        <f t="shared" si="12"/>
        <v>TBD</v>
      </c>
      <c r="T15" s="393">
        <f t="shared" si="13"/>
        <v>0</v>
      </c>
      <c r="U15" s="394" t="str">
        <f t="shared" si="14"/>
        <v>TBD</v>
      </c>
      <c r="V15" s="395">
        <f t="shared" si="15"/>
        <v>0</v>
      </c>
      <c r="W15" s="386" t="str">
        <f t="shared" si="16"/>
        <v>TBD</v>
      </c>
      <c r="X15" s="393">
        <f t="shared" si="17"/>
        <v>0</v>
      </c>
      <c r="Y15" s="396" t="str">
        <f t="shared" si="18"/>
        <v>TBD</v>
      </c>
      <c r="Z15" s="385">
        <f t="shared" si="19"/>
        <v>0</v>
      </c>
      <c r="AA15" s="396" t="str">
        <f t="shared" si="20"/>
        <v>TBD</v>
      </c>
      <c r="AB15" s="385">
        <f t="shared" si="21"/>
        <v>0</v>
      </c>
      <c r="AC15" s="395" t="str">
        <f t="shared" si="22"/>
        <v>TBD</v>
      </c>
      <c r="AD15" s="393">
        <f t="shared" si="23"/>
        <v>0</v>
      </c>
      <c r="AE15" s="394" t="str">
        <f t="shared" si="24"/>
        <v>TBD</v>
      </c>
      <c r="AF15" s="395">
        <f t="shared" si="25"/>
        <v>0</v>
      </c>
      <c r="AG15" s="396" t="str">
        <f t="shared" si="26"/>
        <v>TBD</v>
      </c>
    </row>
    <row r="16" spans="1:33" x14ac:dyDescent="0.25">
      <c r="A16" s="8" t="s">
        <v>190</v>
      </c>
      <c r="B16" s="180" t="str">
        <f>IFERROR(C16/C$38,"TBD ")</f>
        <v xml:space="preserve">TBD </v>
      </c>
      <c r="C16" s="181">
        <v>0</v>
      </c>
      <c r="D16" s="182" t="str">
        <f>IFERROR(E16/E$38,"TBD ")</f>
        <v xml:space="preserve">TBD </v>
      </c>
      <c r="E16" s="183">
        <v>0</v>
      </c>
      <c r="F16" s="184" t="str">
        <f>IFERROR(G16/G$38,"TBD ")</f>
        <v xml:space="preserve">TBD </v>
      </c>
      <c r="G16" s="185">
        <v>0</v>
      </c>
      <c r="H16" s="180" t="str">
        <f t="shared" ref="H16:J17" si="27">IFERROR(I16/I$38,"TBD ")</f>
        <v xml:space="preserve">TBD </v>
      </c>
      <c r="I16" s="181">
        <v>0</v>
      </c>
      <c r="J16" s="182" t="str">
        <f t="shared" si="27"/>
        <v xml:space="preserve">TBD </v>
      </c>
      <c r="K16" s="183">
        <v>0</v>
      </c>
      <c r="L16" s="184" t="str">
        <f t="shared" ref="L16" si="28">IFERROR(M16/M$38,"TBD ")</f>
        <v xml:space="preserve">TBD </v>
      </c>
      <c r="M16" s="181">
        <v>0</v>
      </c>
      <c r="N16" s="182" t="str">
        <f t="shared" ref="N16" si="29">IFERROR(O16/O$38,"TBD ")</f>
        <v xml:space="preserve">TBD </v>
      </c>
      <c r="O16" s="183">
        <v>0</v>
      </c>
      <c r="P16" s="184" t="str">
        <f t="shared" ref="P16" si="30">IFERROR(Q16/Q$38,"TBD ")</f>
        <v xml:space="preserve">TBD </v>
      </c>
      <c r="Q16" s="185">
        <v>0</v>
      </c>
      <c r="R16" s="385" t="str">
        <f t="shared" si="11"/>
        <v>TBD</v>
      </c>
      <c r="S16" s="386" t="str">
        <f t="shared" si="12"/>
        <v>TBD</v>
      </c>
      <c r="T16" s="393" t="str">
        <f t="shared" si="13"/>
        <v>TBD</v>
      </c>
      <c r="U16" s="394" t="str">
        <f t="shared" si="14"/>
        <v>TBD</v>
      </c>
      <c r="V16" s="395" t="str">
        <f t="shared" si="15"/>
        <v>TBD</v>
      </c>
      <c r="W16" s="386" t="str">
        <f t="shared" si="16"/>
        <v>TBD</v>
      </c>
      <c r="X16" s="393" t="str">
        <f t="shared" si="17"/>
        <v>TBD</v>
      </c>
      <c r="Y16" s="396" t="str">
        <f t="shared" si="18"/>
        <v>TBD</v>
      </c>
      <c r="Z16" s="385" t="str">
        <f t="shared" si="19"/>
        <v>TBD</v>
      </c>
      <c r="AA16" s="396" t="str">
        <f t="shared" si="20"/>
        <v>TBD</v>
      </c>
      <c r="AB16" s="385" t="str">
        <f t="shared" si="21"/>
        <v>TBD</v>
      </c>
      <c r="AC16" s="395" t="str">
        <f t="shared" si="22"/>
        <v>TBD</v>
      </c>
      <c r="AD16" s="393" t="str">
        <f t="shared" si="23"/>
        <v>TBD</v>
      </c>
      <c r="AE16" s="394" t="str">
        <f t="shared" si="24"/>
        <v>TBD</v>
      </c>
      <c r="AF16" s="395" t="str">
        <f t="shared" si="25"/>
        <v>TBD</v>
      </c>
      <c r="AG16" s="396" t="str">
        <f t="shared" si="26"/>
        <v>TBD</v>
      </c>
    </row>
    <row r="17" spans="1:33" x14ac:dyDescent="0.25">
      <c r="A17" s="9" t="s">
        <v>191</v>
      </c>
      <c r="B17" s="190" t="str">
        <f>IFERROR(C17/C$38,"TBD ")</f>
        <v xml:space="preserve">TBD </v>
      </c>
      <c r="C17" s="191">
        <v>0</v>
      </c>
      <c r="D17" s="192" t="str">
        <f>IFERROR(E17/E$38,"TBD ")</f>
        <v xml:space="preserve">TBD </v>
      </c>
      <c r="E17" s="193">
        <v>0</v>
      </c>
      <c r="F17" s="194" t="str">
        <f>IFERROR(G17/G$38,"TBD ")</f>
        <v xml:space="preserve">TBD </v>
      </c>
      <c r="G17" s="195">
        <v>0</v>
      </c>
      <c r="H17" s="190" t="str">
        <f t="shared" si="27"/>
        <v xml:space="preserve">TBD </v>
      </c>
      <c r="I17" s="191">
        <v>0</v>
      </c>
      <c r="J17" s="192" t="str">
        <f t="shared" si="27"/>
        <v xml:space="preserve">TBD </v>
      </c>
      <c r="K17" s="193">
        <v>0</v>
      </c>
      <c r="L17" s="194" t="str">
        <f t="shared" ref="L17" si="31">IFERROR(M17/M$38,"TBD ")</f>
        <v xml:space="preserve">TBD </v>
      </c>
      <c r="M17" s="191">
        <v>0</v>
      </c>
      <c r="N17" s="192" t="str">
        <f t="shared" ref="N17" si="32">IFERROR(O17/O$38,"TBD ")</f>
        <v xml:space="preserve">TBD </v>
      </c>
      <c r="O17" s="193">
        <v>0</v>
      </c>
      <c r="P17" s="194" t="str">
        <f t="shared" ref="P17" si="33">IFERROR(Q17/Q$38,"TBD ")</f>
        <v xml:space="preserve">TBD </v>
      </c>
      <c r="Q17" s="195">
        <v>0</v>
      </c>
      <c r="R17" s="387" t="str">
        <f t="shared" si="11"/>
        <v>TBD</v>
      </c>
      <c r="S17" s="388" t="str">
        <f t="shared" si="12"/>
        <v>TBD</v>
      </c>
      <c r="T17" s="397" t="str">
        <f t="shared" si="13"/>
        <v>TBD</v>
      </c>
      <c r="U17" s="398" t="str">
        <f t="shared" si="14"/>
        <v>TBD</v>
      </c>
      <c r="V17" s="388" t="str">
        <f t="shared" si="15"/>
        <v>TBD</v>
      </c>
      <c r="W17" s="388" t="str">
        <f t="shared" si="16"/>
        <v>TBD</v>
      </c>
      <c r="X17" s="397" t="str">
        <f t="shared" si="17"/>
        <v>TBD</v>
      </c>
      <c r="Y17" s="399" t="str">
        <f t="shared" si="18"/>
        <v>TBD</v>
      </c>
      <c r="Z17" s="387" t="str">
        <f t="shared" si="19"/>
        <v>TBD</v>
      </c>
      <c r="AA17" s="399" t="str">
        <f t="shared" si="20"/>
        <v>TBD</v>
      </c>
      <c r="AB17" s="387" t="str">
        <f t="shared" si="21"/>
        <v>TBD</v>
      </c>
      <c r="AC17" s="388" t="str">
        <f t="shared" si="22"/>
        <v>TBD</v>
      </c>
      <c r="AD17" s="397" t="str">
        <f t="shared" si="23"/>
        <v>TBD</v>
      </c>
      <c r="AE17" s="398" t="str">
        <f t="shared" si="24"/>
        <v>TBD</v>
      </c>
      <c r="AF17" s="388" t="str">
        <f t="shared" si="25"/>
        <v>TBD</v>
      </c>
      <c r="AG17" s="399" t="str">
        <f t="shared" si="26"/>
        <v>TBD</v>
      </c>
    </row>
    <row r="18" spans="1:33" x14ac:dyDescent="0.25">
      <c r="A18" s="39" t="s">
        <v>192</v>
      </c>
      <c r="B18" s="196">
        <f t="shared" ref="B18:Q18" si="34">SUM(B13:B17)</f>
        <v>0</v>
      </c>
      <c r="C18" s="197">
        <f t="shared" si="34"/>
        <v>0</v>
      </c>
      <c r="D18" s="198">
        <f t="shared" si="34"/>
        <v>0</v>
      </c>
      <c r="E18" s="199">
        <f t="shared" si="34"/>
        <v>0</v>
      </c>
      <c r="F18" s="200">
        <f t="shared" si="34"/>
        <v>0</v>
      </c>
      <c r="G18" s="201">
        <f t="shared" si="34"/>
        <v>0</v>
      </c>
      <c r="H18" s="196">
        <f t="shared" si="34"/>
        <v>0</v>
      </c>
      <c r="I18" s="197">
        <f t="shared" si="34"/>
        <v>0</v>
      </c>
      <c r="J18" s="198">
        <f t="shared" si="34"/>
        <v>0</v>
      </c>
      <c r="K18" s="199">
        <f t="shared" si="34"/>
        <v>0</v>
      </c>
      <c r="L18" s="200">
        <f t="shared" si="34"/>
        <v>0</v>
      </c>
      <c r="M18" s="197">
        <f t="shared" si="34"/>
        <v>0</v>
      </c>
      <c r="N18" s="198">
        <f t="shared" si="34"/>
        <v>0</v>
      </c>
      <c r="O18" s="199">
        <f t="shared" si="34"/>
        <v>0</v>
      </c>
      <c r="P18" s="200">
        <f t="shared" si="34"/>
        <v>0</v>
      </c>
      <c r="Q18" s="201">
        <f t="shared" si="34"/>
        <v>0</v>
      </c>
      <c r="R18" s="389">
        <f t="shared" si="11"/>
        <v>0</v>
      </c>
      <c r="S18" s="390" t="str">
        <f t="shared" si="12"/>
        <v>TBD</v>
      </c>
      <c r="T18" s="391">
        <f t="shared" si="13"/>
        <v>0</v>
      </c>
      <c r="U18" s="400" t="str">
        <f t="shared" si="14"/>
        <v>TBD</v>
      </c>
      <c r="V18" s="392">
        <f t="shared" si="15"/>
        <v>0</v>
      </c>
      <c r="W18" s="390" t="str">
        <f t="shared" si="16"/>
        <v>TBD</v>
      </c>
      <c r="X18" s="391">
        <f t="shared" si="17"/>
        <v>0</v>
      </c>
      <c r="Y18" s="401" t="str">
        <f t="shared" si="18"/>
        <v>TBD</v>
      </c>
      <c r="Z18" s="389">
        <f t="shared" si="19"/>
        <v>0</v>
      </c>
      <c r="AA18" s="401" t="str">
        <f t="shared" si="20"/>
        <v>TBD</v>
      </c>
      <c r="AB18" s="389">
        <f t="shared" si="21"/>
        <v>0</v>
      </c>
      <c r="AC18" s="392" t="str">
        <f t="shared" si="22"/>
        <v>TBD</v>
      </c>
      <c r="AD18" s="391">
        <f t="shared" si="23"/>
        <v>0</v>
      </c>
      <c r="AE18" s="400" t="str">
        <f t="shared" si="24"/>
        <v>TBD</v>
      </c>
      <c r="AF18" s="392">
        <f t="shared" si="25"/>
        <v>0</v>
      </c>
      <c r="AG18" s="401" t="str">
        <f t="shared" si="26"/>
        <v>TBD</v>
      </c>
    </row>
    <row r="19" spans="1:33" x14ac:dyDescent="0.25">
      <c r="A19" s="7"/>
      <c r="B19" s="180"/>
      <c r="C19" s="141"/>
      <c r="D19" s="182"/>
      <c r="E19" s="142"/>
      <c r="F19" s="184"/>
      <c r="G19" s="189"/>
      <c r="H19" s="180"/>
      <c r="I19" s="141"/>
      <c r="J19" s="182"/>
      <c r="K19" s="142"/>
      <c r="L19" s="184"/>
      <c r="M19" s="141"/>
      <c r="N19" s="182"/>
      <c r="O19" s="142"/>
      <c r="P19" s="184"/>
      <c r="Q19" s="189"/>
      <c r="R19" s="180"/>
      <c r="S19" s="382"/>
      <c r="T19" s="182"/>
      <c r="U19" s="383"/>
      <c r="V19" s="184"/>
      <c r="W19" s="382"/>
      <c r="X19" s="182"/>
      <c r="Y19" s="384"/>
      <c r="Z19" s="180"/>
      <c r="AA19" s="384"/>
      <c r="AB19" s="180"/>
      <c r="AC19" s="184"/>
      <c r="AD19" s="182"/>
      <c r="AE19" s="383"/>
      <c r="AF19" s="184"/>
      <c r="AG19" s="384"/>
    </row>
    <row r="20" spans="1:33" x14ac:dyDescent="0.25">
      <c r="A20" t="s">
        <v>36</v>
      </c>
      <c r="B20" s="180"/>
      <c r="C20" s="141"/>
      <c r="D20" s="182"/>
      <c r="E20" s="142"/>
      <c r="F20" s="184"/>
      <c r="G20" s="189"/>
      <c r="H20" s="180"/>
      <c r="I20" s="141"/>
      <c r="J20" s="182"/>
      <c r="K20" s="142"/>
      <c r="L20" s="184"/>
      <c r="M20" s="141"/>
      <c r="N20" s="182"/>
      <c r="O20" s="142"/>
      <c r="P20" s="184"/>
      <c r="Q20" s="189"/>
      <c r="R20" s="180"/>
      <c r="S20" s="382"/>
      <c r="T20" s="182"/>
      <c r="U20" s="383"/>
      <c r="V20" s="184"/>
      <c r="W20" s="382"/>
      <c r="X20" s="182"/>
      <c r="Y20" s="384"/>
      <c r="Z20" s="180"/>
      <c r="AA20" s="384"/>
      <c r="AB20" s="180"/>
      <c r="AC20" s="184"/>
      <c r="AD20" s="182"/>
      <c r="AE20" s="383"/>
      <c r="AF20" s="184"/>
      <c r="AG20" s="384"/>
    </row>
    <row r="21" spans="1:33" x14ac:dyDescent="0.25">
      <c r="A21" s="8" t="s">
        <v>193</v>
      </c>
      <c r="B21" s="186">
        <v>0.02</v>
      </c>
      <c r="C21" s="141">
        <f>B21*C$38</f>
        <v>0</v>
      </c>
      <c r="D21" s="187">
        <v>0.02</v>
      </c>
      <c r="E21" s="142">
        <f>D21*E$38</f>
        <v>0</v>
      </c>
      <c r="F21" s="188">
        <v>0.02</v>
      </c>
      <c r="G21" s="189">
        <f>F21*G$38</f>
        <v>0</v>
      </c>
      <c r="H21" s="186">
        <v>0.02</v>
      </c>
      <c r="I21" s="141">
        <f>H21*I$38</f>
        <v>0</v>
      </c>
      <c r="J21" s="187">
        <v>0.02</v>
      </c>
      <c r="K21" s="142">
        <f>J21*K$38</f>
        <v>0</v>
      </c>
      <c r="L21" s="188">
        <v>0.02</v>
      </c>
      <c r="M21" s="141">
        <f>L21*M$38</f>
        <v>0</v>
      </c>
      <c r="N21" s="187">
        <v>0.02</v>
      </c>
      <c r="O21" s="142">
        <f>N21*O$38</f>
        <v>0</v>
      </c>
      <c r="P21" s="188">
        <v>0.02</v>
      </c>
      <c r="Q21" s="189">
        <f>P21*Q$38</f>
        <v>0</v>
      </c>
      <c r="R21" s="385">
        <f t="shared" ref="R21:R30" si="35">IFERROR(J21-H21,"TBD")</f>
        <v>0</v>
      </c>
      <c r="S21" s="386" t="str">
        <f t="shared" ref="S21:S30" si="36">IFERROR(K21/I21-1,"TBD")</f>
        <v>TBD</v>
      </c>
      <c r="T21" s="393">
        <f t="shared" ref="T21:T30" si="37">IFERROR(L21-J21,"TBD")</f>
        <v>0</v>
      </c>
      <c r="U21" s="394" t="str">
        <f t="shared" ref="U21:U30" si="38">IFERROR(M21/K21-1,"TBD")</f>
        <v>TBD</v>
      </c>
      <c r="V21" s="395">
        <f t="shared" ref="V21:V30" si="39">IFERROR(N21-L21,"TBD")</f>
        <v>0</v>
      </c>
      <c r="W21" s="386" t="str">
        <f t="shared" ref="W21:W30" si="40">IFERROR(O21/M21-1,"TBD")</f>
        <v>TBD</v>
      </c>
      <c r="X21" s="393">
        <f t="shared" ref="X21:X30" si="41">IFERROR(P21-N21,"TBD")</f>
        <v>0</v>
      </c>
      <c r="Y21" s="396" t="str">
        <f t="shared" ref="Y21:Y30" si="42">IFERROR(Q21/O21-1,"TBD")</f>
        <v>TBD</v>
      </c>
      <c r="Z21" s="385">
        <f t="shared" ref="Z21:Z36" si="43">IFERROR(P21-F21,"TBD")</f>
        <v>0</v>
      </c>
      <c r="AA21" s="396" t="str">
        <f t="shared" ref="AA21:AA38" si="44">IFERROR(Q21/G21-1,"TBD")</f>
        <v>TBD</v>
      </c>
      <c r="AB21" s="385">
        <f t="shared" ref="AB21:AB30" si="45">IFERROR(H21-B21,"TBD")</f>
        <v>0</v>
      </c>
      <c r="AC21" s="395" t="str">
        <f t="shared" ref="AC21:AC30" si="46">IFERROR(I21/C21-1,"TBD")</f>
        <v>TBD</v>
      </c>
      <c r="AD21" s="393">
        <f t="shared" ref="AD21:AD30" si="47">IFERROR(J21-D21,"TBD")</f>
        <v>0</v>
      </c>
      <c r="AE21" s="394" t="str">
        <f t="shared" ref="AE21:AE30" si="48">IFERROR(K21/E21-1,"TBD")</f>
        <v>TBD</v>
      </c>
      <c r="AF21" s="395">
        <f t="shared" ref="AF21:AF30" si="49">IFERROR(L21-F21,"TBD")</f>
        <v>0</v>
      </c>
      <c r="AG21" s="396" t="str">
        <f t="shared" ref="AG21:AG30" si="50">IFERROR(M21/G21-1,"TBD")</f>
        <v>TBD</v>
      </c>
    </row>
    <row r="22" spans="1:33" x14ac:dyDescent="0.25">
      <c r="A22" s="8" t="s">
        <v>194</v>
      </c>
      <c r="B22" s="186">
        <v>0</v>
      </c>
      <c r="C22" s="141">
        <f>B22*C$38</f>
        <v>0</v>
      </c>
      <c r="D22" s="187">
        <v>0</v>
      </c>
      <c r="E22" s="142">
        <f>D22*E$38</f>
        <v>0</v>
      </c>
      <c r="F22" s="188">
        <v>0</v>
      </c>
      <c r="G22" s="189">
        <f>F22*G$38</f>
        <v>0</v>
      </c>
      <c r="H22" s="186">
        <v>0</v>
      </c>
      <c r="I22" s="141">
        <f>H22*I$38</f>
        <v>0</v>
      </c>
      <c r="J22" s="187">
        <v>0</v>
      </c>
      <c r="K22" s="142">
        <f>J22*K$38</f>
        <v>0</v>
      </c>
      <c r="L22" s="188">
        <v>0</v>
      </c>
      <c r="M22" s="141">
        <f>L22*M$38</f>
        <v>0</v>
      </c>
      <c r="N22" s="187">
        <v>0</v>
      </c>
      <c r="O22" s="142">
        <f>N22*O$38</f>
        <v>0</v>
      </c>
      <c r="P22" s="188">
        <v>0</v>
      </c>
      <c r="Q22" s="189">
        <f>P22*Q$38</f>
        <v>0</v>
      </c>
      <c r="R22" s="385">
        <f t="shared" si="35"/>
        <v>0</v>
      </c>
      <c r="S22" s="386" t="str">
        <f t="shared" si="36"/>
        <v>TBD</v>
      </c>
      <c r="T22" s="393">
        <f t="shared" si="37"/>
        <v>0</v>
      </c>
      <c r="U22" s="394" t="str">
        <f t="shared" si="38"/>
        <v>TBD</v>
      </c>
      <c r="V22" s="395">
        <f t="shared" si="39"/>
        <v>0</v>
      </c>
      <c r="W22" s="386" t="str">
        <f t="shared" si="40"/>
        <v>TBD</v>
      </c>
      <c r="X22" s="393">
        <f t="shared" si="41"/>
        <v>0</v>
      </c>
      <c r="Y22" s="396" t="str">
        <f t="shared" si="42"/>
        <v>TBD</v>
      </c>
      <c r="Z22" s="385">
        <f t="shared" si="43"/>
        <v>0</v>
      </c>
      <c r="AA22" s="396" t="str">
        <f t="shared" si="44"/>
        <v>TBD</v>
      </c>
      <c r="AB22" s="385">
        <f t="shared" si="45"/>
        <v>0</v>
      </c>
      <c r="AC22" s="395" t="str">
        <f t="shared" si="46"/>
        <v>TBD</v>
      </c>
      <c r="AD22" s="393">
        <f t="shared" si="47"/>
        <v>0</v>
      </c>
      <c r="AE22" s="394" t="str">
        <f t="shared" si="48"/>
        <v>TBD</v>
      </c>
      <c r="AF22" s="395">
        <f t="shared" si="49"/>
        <v>0</v>
      </c>
      <c r="AG22" s="396" t="str">
        <f t="shared" si="50"/>
        <v>TBD</v>
      </c>
    </row>
    <row r="23" spans="1:33" x14ac:dyDescent="0.25">
      <c r="A23" s="8" t="s">
        <v>195</v>
      </c>
      <c r="B23" s="202">
        <v>0</v>
      </c>
      <c r="C23" s="141">
        <f>B23*C$38</f>
        <v>0</v>
      </c>
      <c r="D23" s="203">
        <v>0</v>
      </c>
      <c r="E23" s="142">
        <f>D23*E$38</f>
        <v>0</v>
      </c>
      <c r="F23" s="204">
        <v>0</v>
      </c>
      <c r="G23" s="189">
        <f>F23*G$38</f>
        <v>0</v>
      </c>
      <c r="H23" s="202">
        <v>0</v>
      </c>
      <c r="I23" s="141">
        <f>H23*I$38</f>
        <v>0</v>
      </c>
      <c r="J23" s="203">
        <v>0</v>
      </c>
      <c r="K23" s="142">
        <f>J23*K$38</f>
        <v>0</v>
      </c>
      <c r="L23" s="204">
        <v>0</v>
      </c>
      <c r="M23" s="141">
        <f>L23*M$38</f>
        <v>0</v>
      </c>
      <c r="N23" s="203">
        <v>0</v>
      </c>
      <c r="O23" s="142">
        <f>N23*O$38</f>
        <v>0</v>
      </c>
      <c r="P23" s="204">
        <v>0</v>
      </c>
      <c r="Q23" s="189">
        <f>P23*Q$38</f>
        <v>0</v>
      </c>
      <c r="R23" s="385">
        <f t="shared" si="35"/>
        <v>0</v>
      </c>
      <c r="S23" s="386" t="str">
        <f t="shared" si="36"/>
        <v>TBD</v>
      </c>
      <c r="T23" s="393">
        <f t="shared" si="37"/>
        <v>0</v>
      </c>
      <c r="U23" s="394" t="str">
        <f t="shared" si="38"/>
        <v>TBD</v>
      </c>
      <c r="V23" s="395">
        <f t="shared" si="39"/>
        <v>0</v>
      </c>
      <c r="W23" s="386" t="str">
        <f t="shared" si="40"/>
        <v>TBD</v>
      </c>
      <c r="X23" s="393">
        <f t="shared" si="41"/>
        <v>0</v>
      </c>
      <c r="Y23" s="396" t="str">
        <f t="shared" si="42"/>
        <v>TBD</v>
      </c>
      <c r="Z23" s="385">
        <f t="shared" si="43"/>
        <v>0</v>
      </c>
      <c r="AA23" s="396" t="str">
        <f t="shared" si="44"/>
        <v>TBD</v>
      </c>
      <c r="AB23" s="385">
        <f t="shared" si="45"/>
        <v>0</v>
      </c>
      <c r="AC23" s="395" t="str">
        <f t="shared" si="46"/>
        <v>TBD</v>
      </c>
      <c r="AD23" s="393">
        <f t="shared" si="47"/>
        <v>0</v>
      </c>
      <c r="AE23" s="394" t="str">
        <f t="shared" si="48"/>
        <v>TBD</v>
      </c>
      <c r="AF23" s="395">
        <f t="shared" si="49"/>
        <v>0</v>
      </c>
      <c r="AG23" s="396" t="str">
        <f t="shared" si="50"/>
        <v>TBD</v>
      </c>
    </row>
    <row r="24" spans="1:33" x14ac:dyDescent="0.25">
      <c r="A24" s="8" t="s">
        <v>196</v>
      </c>
      <c r="B24" s="202">
        <v>0</v>
      </c>
      <c r="C24" s="141">
        <f>B24*C$38</f>
        <v>0</v>
      </c>
      <c r="D24" s="203">
        <v>0</v>
      </c>
      <c r="E24" s="142">
        <f>D24*E$38</f>
        <v>0</v>
      </c>
      <c r="F24" s="204">
        <v>0</v>
      </c>
      <c r="G24" s="189">
        <f>F24*G$38</f>
        <v>0</v>
      </c>
      <c r="H24" s="202">
        <v>0</v>
      </c>
      <c r="I24" s="141">
        <f>H24*I$38</f>
        <v>0</v>
      </c>
      <c r="J24" s="203">
        <v>0</v>
      </c>
      <c r="K24" s="142">
        <f>J24*K$38</f>
        <v>0</v>
      </c>
      <c r="L24" s="204">
        <v>0</v>
      </c>
      <c r="M24" s="141">
        <f>L24*M$38</f>
        <v>0</v>
      </c>
      <c r="N24" s="203">
        <v>0</v>
      </c>
      <c r="O24" s="142">
        <f>N24*O$38</f>
        <v>0</v>
      </c>
      <c r="P24" s="204">
        <v>0</v>
      </c>
      <c r="Q24" s="189">
        <f>P24*Q$38</f>
        <v>0</v>
      </c>
      <c r="R24" s="385">
        <f t="shared" si="35"/>
        <v>0</v>
      </c>
      <c r="S24" s="386" t="str">
        <f t="shared" si="36"/>
        <v>TBD</v>
      </c>
      <c r="T24" s="393">
        <f t="shared" si="37"/>
        <v>0</v>
      </c>
      <c r="U24" s="394" t="str">
        <f t="shared" si="38"/>
        <v>TBD</v>
      </c>
      <c r="V24" s="395">
        <f t="shared" si="39"/>
        <v>0</v>
      </c>
      <c r="W24" s="386" t="str">
        <f t="shared" si="40"/>
        <v>TBD</v>
      </c>
      <c r="X24" s="393">
        <f t="shared" si="41"/>
        <v>0</v>
      </c>
      <c r="Y24" s="396" t="str">
        <f t="shared" si="42"/>
        <v>TBD</v>
      </c>
      <c r="Z24" s="385">
        <f t="shared" si="43"/>
        <v>0</v>
      </c>
      <c r="AA24" s="396" t="str">
        <f t="shared" si="44"/>
        <v>TBD</v>
      </c>
      <c r="AB24" s="385">
        <f t="shared" si="45"/>
        <v>0</v>
      </c>
      <c r="AC24" s="395" t="str">
        <f t="shared" si="46"/>
        <v>TBD</v>
      </c>
      <c r="AD24" s="393">
        <f t="shared" si="47"/>
        <v>0</v>
      </c>
      <c r="AE24" s="394" t="str">
        <f t="shared" si="48"/>
        <v>TBD</v>
      </c>
      <c r="AF24" s="395">
        <f t="shared" si="49"/>
        <v>0</v>
      </c>
      <c r="AG24" s="396" t="str">
        <f t="shared" si="50"/>
        <v>TBD</v>
      </c>
    </row>
    <row r="25" spans="1:33" x14ac:dyDescent="0.25">
      <c r="A25" s="8" t="s">
        <v>197</v>
      </c>
      <c r="B25" s="180" t="str">
        <f t="shared" ref="B25:B29" si="51">IFERROR(C25/C$38,"TBD ")</f>
        <v xml:space="preserve">TBD </v>
      </c>
      <c r="C25" s="181">
        <v>0</v>
      </c>
      <c r="D25" s="182" t="str">
        <f t="shared" ref="D25:D29" si="52">IFERROR(E25/E$38,"TBD ")</f>
        <v xml:space="preserve">TBD </v>
      </c>
      <c r="E25" s="183">
        <v>0</v>
      </c>
      <c r="F25" s="184" t="str">
        <f t="shared" ref="F25:F29" si="53">IFERROR(G25/G$38,"TBD ")</f>
        <v xml:space="preserve">TBD </v>
      </c>
      <c r="G25" s="185">
        <v>0</v>
      </c>
      <c r="H25" s="180" t="str">
        <f t="shared" ref="H25:H29" si="54">IFERROR(I25/I$38,"TBD ")</f>
        <v xml:space="preserve">TBD </v>
      </c>
      <c r="I25" s="181">
        <v>0</v>
      </c>
      <c r="J25" s="182" t="str">
        <f t="shared" ref="J25:J29" si="55">IFERROR(K25/K$38,"TBD ")</f>
        <v xml:space="preserve">TBD </v>
      </c>
      <c r="K25" s="183">
        <v>0</v>
      </c>
      <c r="L25" s="184" t="str">
        <f t="shared" ref="L25" si="56">IFERROR(M25/M$38,"TBD ")</f>
        <v xml:space="preserve">TBD </v>
      </c>
      <c r="M25" s="181">
        <v>0</v>
      </c>
      <c r="N25" s="182" t="str">
        <f t="shared" ref="N25" si="57">IFERROR(O25/O$38,"TBD ")</f>
        <v xml:space="preserve">TBD </v>
      </c>
      <c r="O25" s="183">
        <v>0</v>
      </c>
      <c r="P25" s="184" t="str">
        <f t="shared" ref="P25" si="58">IFERROR(Q25/Q$38,"TBD ")</f>
        <v xml:space="preserve">TBD </v>
      </c>
      <c r="Q25" s="185">
        <v>0</v>
      </c>
      <c r="R25" s="385" t="str">
        <f t="shared" si="35"/>
        <v>TBD</v>
      </c>
      <c r="S25" s="386" t="str">
        <f t="shared" si="36"/>
        <v>TBD</v>
      </c>
      <c r="T25" s="393" t="str">
        <f t="shared" si="37"/>
        <v>TBD</v>
      </c>
      <c r="U25" s="394" t="str">
        <f t="shared" si="38"/>
        <v>TBD</v>
      </c>
      <c r="V25" s="395" t="str">
        <f t="shared" si="39"/>
        <v>TBD</v>
      </c>
      <c r="W25" s="386" t="str">
        <f t="shared" si="40"/>
        <v>TBD</v>
      </c>
      <c r="X25" s="393" t="str">
        <f t="shared" si="41"/>
        <v>TBD</v>
      </c>
      <c r="Y25" s="396" t="str">
        <f t="shared" si="42"/>
        <v>TBD</v>
      </c>
      <c r="Z25" s="385" t="str">
        <f t="shared" si="43"/>
        <v>TBD</v>
      </c>
      <c r="AA25" s="396" t="str">
        <f t="shared" si="44"/>
        <v>TBD</v>
      </c>
      <c r="AB25" s="385" t="str">
        <f t="shared" si="45"/>
        <v>TBD</v>
      </c>
      <c r="AC25" s="395" t="str">
        <f t="shared" si="46"/>
        <v>TBD</v>
      </c>
      <c r="AD25" s="393" t="str">
        <f t="shared" si="47"/>
        <v>TBD</v>
      </c>
      <c r="AE25" s="394" t="str">
        <f t="shared" si="48"/>
        <v>TBD</v>
      </c>
      <c r="AF25" s="395" t="str">
        <f t="shared" si="49"/>
        <v>TBD</v>
      </c>
      <c r="AG25" s="396" t="str">
        <f t="shared" si="50"/>
        <v>TBD</v>
      </c>
    </row>
    <row r="26" spans="1:33" x14ac:dyDescent="0.25">
      <c r="A26" s="8" t="s">
        <v>198</v>
      </c>
      <c r="B26" s="180" t="str">
        <f t="shared" si="51"/>
        <v xml:space="preserve">TBD </v>
      </c>
      <c r="C26" s="181">
        <v>0</v>
      </c>
      <c r="D26" s="182" t="str">
        <f t="shared" si="52"/>
        <v xml:space="preserve">TBD </v>
      </c>
      <c r="E26" s="183">
        <v>0</v>
      </c>
      <c r="F26" s="184" t="str">
        <f t="shared" si="53"/>
        <v xml:space="preserve">TBD </v>
      </c>
      <c r="G26" s="185">
        <v>0</v>
      </c>
      <c r="H26" s="180" t="str">
        <f t="shared" si="54"/>
        <v xml:space="preserve">TBD </v>
      </c>
      <c r="I26" s="181">
        <v>0</v>
      </c>
      <c r="J26" s="182" t="str">
        <f t="shared" si="55"/>
        <v xml:space="preserve">TBD </v>
      </c>
      <c r="K26" s="183">
        <v>0</v>
      </c>
      <c r="L26" s="184" t="str">
        <f t="shared" ref="L26" si="59">IFERROR(M26/M$38,"TBD ")</f>
        <v xml:space="preserve">TBD </v>
      </c>
      <c r="M26" s="181">
        <v>0</v>
      </c>
      <c r="N26" s="182" t="str">
        <f t="shared" ref="N26" si="60">IFERROR(O26/O$38,"TBD ")</f>
        <v xml:space="preserve">TBD </v>
      </c>
      <c r="O26" s="183">
        <v>0</v>
      </c>
      <c r="P26" s="184" t="str">
        <f t="shared" ref="P26" si="61">IFERROR(Q26/Q$38,"TBD ")</f>
        <v xml:space="preserve">TBD </v>
      </c>
      <c r="Q26" s="185">
        <v>0</v>
      </c>
      <c r="R26" s="385" t="str">
        <f t="shared" si="35"/>
        <v>TBD</v>
      </c>
      <c r="S26" s="386" t="str">
        <f t="shared" si="36"/>
        <v>TBD</v>
      </c>
      <c r="T26" s="393" t="str">
        <f t="shared" si="37"/>
        <v>TBD</v>
      </c>
      <c r="U26" s="394" t="str">
        <f t="shared" si="38"/>
        <v>TBD</v>
      </c>
      <c r="V26" s="395" t="str">
        <f t="shared" si="39"/>
        <v>TBD</v>
      </c>
      <c r="W26" s="386" t="str">
        <f t="shared" si="40"/>
        <v>TBD</v>
      </c>
      <c r="X26" s="393" t="str">
        <f t="shared" si="41"/>
        <v>TBD</v>
      </c>
      <c r="Y26" s="396" t="str">
        <f t="shared" si="42"/>
        <v>TBD</v>
      </c>
      <c r="Z26" s="385" t="str">
        <f t="shared" si="43"/>
        <v>TBD</v>
      </c>
      <c r="AA26" s="396" t="str">
        <f t="shared" si="44"/>
        <v>TBD</v>
      </c>
      <c r="AB26" s="385" t="str">
        <f t="shared" si="45"/>
        <v>TBD</v>
      </c>
      <c r="AC26" s="395" t="str">
        <f t="shared" si="46"/>
        <v>TBD</v>
      </c>
      <c r="AD26" s="393" t="str">
        <f t="shared" si="47"/>
        <v>TBD</v>
      </c>
      <c r="AE26" s="394" t="str">
        <f t="shared" si="48"/>
        <v>TBD</v>
      </c>
      <c r="AF26" s="395" t="str">
        <f t="shared" si="49"/>
        <v>TBD</v>
      </c>
      <c r="AG26" s="396" t="str">
        <f t="shared" si="50"/>
        <v>TBD</v>
      </c>
    </row>
    <row r="27" spans="1:33" x14ac:dyDescent="0.25">
      <c r="A27" s="8" t="s">
        <v>199</v>
      </c>
      <c r="B27" s="180" t="str">
        <f t="shared" si="51"/>
        <v xml:space="preserve">TBD </v>
      </c>
      <c r="C27" s="181">
        <v>0</v>
      </c>
      <c r="D27" s="182" t="str">
        <f t="shared" si="52"/>
        <v xml:space="preserve">TBD </v>
      </c>
      <c r="E27" s="183">
        <v>0</v>
      </c>
      <c r="F27" s="184" t="str">
        <f t="shared" si="53"/>
        <v xml:space="preserve">TBD </v>
      </c>
      <c r="G27" s="185">
        <v>0</v>
      </c>
      <c r="H27" s="180" t="str">
        <f t="shared" si="54"/>
        <v xml:space="preserve">TBD </v>
      </c>
      <c r="I27" s="181">
        <v>0</v>
      </c>
      <c r="J27" s="182" t="str">
        <f t="shared" si="55"/>
        <v xml:space="preserve">TBD </v>
      </c>
      <c r="K27" s="183">
        <v>0</v>
      </c>
      <c r="L27" s="184" t="str">
        <f t="shared" ref="L27" si="62">IFERROR(M27/M$38,"TBD ")</f>
        <v xml:space="preserve">TBD </v>
      </c>
      <c r="M27" s="181">
        <v>0</v>
      </c>
      <c r="N27" s="182" t="str">
        <f t="shared" ref="N27" si="63">IFERROR(O27/O$38,"TBD ")</f>
        <v xml:space="preserve">TBD </v>
      </c>
      <c r="O27" s="183">
        <v>0</v>
      </c>
      <c r="P27" s="184" t="str">
        <f t="shared" ref="P27" si="64">IFERROR(Q27/Q$38,"TBD ")</f>
        <v xml:space="preserve">TBD </v>
      </c>
      <c r="Q27" s="185">
        <v>0</v>
      </c>
      <c r="R27" s="385" t="str">
        <f t="shared" si="35"/>
        <v>TBD</v>
      </c>
      <c r="S27" s="386" t="str">
        <f t="shared" si="36"/>
        <v>TBD</v>
      </c>
      <c r="T27" s="393" t="str">
        <f t="shared" si="37"/>
        <v>TBD</v>
      </c>
      <c r="U27" s="394" t="str">
        <f t="shared" si="38"/>
        <v>TBD</v>
      </c>
      <c r="V27" s="395" t="str">
        <f t="shared" si="39"/>
        <v>TBD</v>
      </c>
      <c r="W27" s="386" t="str">
        <f t="shared" si="40"/>
        <v>TBD</v>
      </c>
      <c r="X27" s="393" t="str">
        <f t="shared" si="41"/>
        <v>TBD</v>
      </c>
      <c r="Y27" s="396" t="str">
        <f t="shared" si="42"/>
        <v>TBD</v>
      </c>
      <c r="Z27" s="385" t="str">
        <f t="shared" si="43"/>
        <v>TBD</v>
      </c>
      <c r="AA27" s="396" t="str">
        <f t="shared" si="44"/>
        <v>TBD</v>
      </c>
      <c r="AB27" s="385" t="str">
        <f t="shared" si="45"/>
        <v>TBD</v>
      </c>
      <c r="AC27" s="395" t="str">
        <f t="shared" si="46"/>
        <v>TBD</v>
      </c>
      <c r="AD27" s="393" t="str">
        <f t="shared" si="47"/>
        <v>TBD</v>
      </c>
      <c r="AE27" s="394" t="str">
        <f t="shared" si="48"/>
        <v>TBD</v>
      </c>
      <c r="AF27" s="395" t="str">
        <f t="shared" si="49"/>
        <v>TBD</v>
      </c>
      <c r="AG27" s="396" t="str">
        <f t="shared" si="50"/>
        <v>TBD</v>
      </c>
    </row>
    <row r="28" spans="1:33" x14ac:dyDescent="0.25">
      <c r="A28" s="8" t="s">
        <v>200</v>
      </c>
      <c r="B28" s="180" t="str">
        <f t="shared" si="51"/>
        <v xml:space="preserve">TBD </v>
      </c>
      <c r="C28" s="181">
        <v>0</v>
      </c>
      <c r="D28" s="182" t="str">
        <f t="shared" si="52"/>
        <v xml:space="preserve">TBD </v>
      </c>
      <c r="E28" s="183">
        <v>0</v>
      </c>
      <c r="F28" s="184" t="str">
        <f t="shared" si="53"/>
        <v xml:space="preserve">TBD </v>
      </c>
      <c r="G28" s="185">
        <v>0</v>
      </c>
      <c r="H28" s="180" t="str">
        <f t="shared" si="54"/>
        <v xml:space="preserve">TBD </v>
      </c>
      <c r="I28" s="181">
        <v>0</v>
      </c>
      <c r="J28" s="182" t="str">
        <f t="shared" si="55"/>
        <v xml:space="preserve">TBD </v>
      </c>
      <c r="K28" s="183">
        <v>0</v>
      </c>
      <c r="L28" s="184" t="str">
        <f t="shared" ref="L28" si="65">IFERROR(M28/M$38,"TBD ")</f>
        <v xml:space="preserve">TBD </v>
      </c>
      <c r="M28" s="181">
        <v>0</v>
      </c>
      <c r="N28" s="182" t="str">
        <f t="shared" ref="N28" si="66">IFERROR(O28/O$38,"TBD ")</f>
        <v xml:space="preserve">TBD </v>
      </c>
      <c r="O28" s="183">
        <v>0</v>
      </c>
      <c r="P28" s="184" t="str">
        <f t="shared" ref="P28" si="67">IFERROR(Q28/Q$38,"TBD ")</f>
        <v xml:space="preserve">TBD </v>
      </c>
      <c r="Q28" s="185">
        <v>0</v>
      </c>
      <c r="R28" s="385" t="str">
        <f t="shared" si="35"/>
        <v>TBD</v>
      </c>
      <c r="S28" s="386" t="str">
        <f t="shared" si="36"/>
        <v>TBD</v>
      </c>
      <c r="T28" s="393" t="str">
        <f t="shared" si="37"/>
        <v>TBD</v>
      </c>
      <c r="U28" s="394" t="str">
        <f t="shared" si="38"/>
        <v>TBD</v>
      </c>
      <c r="V28" s="395" t="str">
        <f t="shared" si="39"/>
        <v>TBD</v>
      </c>
      <c r="W28" s="386" t="str">
        <f t="shared" si="40"/>
        <v>TBD</v>
      </c>
      <c r="X28" s="393" t="str">
        <f t="shared" si="41"/>
        <v>TBD</v>
      </c>
      <c r="Y28" s="396" t="str">
        <f t="shared" si="42"/>
        <v>TBD</v>
      </c>
      <c r="Z28" s="385" t="str">
        <f t="shared" si="43"/>
        <v>TBD</v>
      </c>
      <c r="AA28" s="396" t="str">
        <f t="shared" si="44"/>
        <v>TBD</v>
      </c>
      <c r="AB28" s="385" t="str">
        <f t="shared" si="45"/>
        <v>TBD</v>
      </c>
      <c r="AC28" s="395" t="str">
        <f t="shared" si="46"/>
        <v>TBD</v>
      </c>
      <c r="AD28" s="393" t="str">
        <f t="shared" si="47"/>
        <v>TBD</v>
      </c>
      <c r="AE28" s="394" t="str">
        <f t="shared" si="48"/>
        <v>TBD</v>
      </c>
      <c r="AF28" s="395" t="str">
        <f t="shared" si="49"/>
        <v>TBD</v>
      </c>
      <c r="AG28" s="396" t="str">
        <f t="shared" si="50"/>
        <v>TBD</v>
      </c>
    </row>
    <row r="29" spans="1:33" x14ac:dyDescent="0.25">
      <c r="A29" s="9" t="s">
        <v>201</v>
      </c>
      <c r="B29" s="190" t="str">
        <f t="shared" si="51"/>
        <v xml:space="preserve">TBD </v>
      </c>
      <c r="C29" s="191">
        <v>0</v>
      </c>
      <c r="D29" s="192" t="str">
        <f t="shared" si="52"/>
        <v xml:space="preserve">TBD </v>
      </c>
      <c r="E29" s="193">
        <v>0</v>
      </c>
      <c r="F29" s="194" t="str">
        <f t="shared" si="53"/>
        <v xml:space="preserve">TBD </v>
      </c>
      <c r="G29" s="195">
        <v>0</v>
      </c>
      <c r="H29" s="190" t="str">
        <f t="shared" si="54"/>
        <v xml:space="preserve">TBD </v>
      </c>
      <c r="I29" s="191">
        <v>0</v>
      </c>
      <c r="J29" s="192" t="str">
        <f t="shared" si="55"/>
        <v xml:space="preserve">TBD </v>
      </c>
      <c r="K29" s="193">
        <v>0</v>
      </c>
      <c r="L29" s="194" t="str">
        <f t="shared" ref="L29" si="68">IFERROR(M29/M$38,"TBD ")</f>
        <v xml:space="preserve">TBD </v>
      </c>
      <c r="M29" s="191">
        <v>0</v>
      </c>
      <c r="N29" s="192" t="str">
        <f t="shared" ref="N29" si="69">IFERROR(O29/O$38,"TBD ")</f>
        <v xml:space="preserve">TBD </v>
      </c>
      <c r="O29" s="193">
        <v>0</v>
      </c>
      <c r="P29" s="194" t="str">
        <f t="shared" ref="P29" si="70">IFERROR(Q29/Q$38,"TBD ")</f>
        <v xml:space="preserve">TBD </v>
      </c>
      <c r="Q29" s="195">
        <v>0</v>
      </c>
      <c r="R29" s="387" t="str">
        <f t="shared" si="35"/>
        <v>TBD</v>
      </c>
      <c r="S29" s="388" t="str">
        <f t="shared" si="36"/>
        <v>TBD</v>
      </c>
      <c r="T29" s="397" t="str">
        <f t="shared" si="37"/>
        <v>TBD</v>
      </c>
      <c r="U29" s="398" t="str">
        <f t="shared" si="38"/>
        <v>TBD</v>
      </c>
      <c r="V29" s="388" t="str">
        <f t="shared" si="39"/>
        <v>TBD</v>
      </c>
      <c r="W29" s="388" t="str">
        <f t="shared" si="40"/>
        <v>TBD</v>
      </c>
      <c r="X29" s="397" t="str">
        <f t="shared" si="41"/>
        <v>TBD</v>
      </c>
      <c r="Y29" s="399" t="str">
        <f t="shared" si="42"/>
        <v>TBD</v>
      </c>
      <c r="Z29" s="387" t="str">
        <f t="shared" si="43"/>
        <v>TBD</v>
      </c>
      <c r="AA29" s="399" t="str">
        <f t="shared" si="44"/>
        <v>TBD</v>
      </c>
      <c r="AB29" s="387" t="str">
        <f t="shared" si="45"/>
        <v>TBD</v>
      </c>
      <c r="AC29" s="388" t="str">
        <f t="shared" si="46"/>
        <v>TBD</v>
      </c>
      <c r="AD29" s="397" t="str">
        <f t="shared" si="47"/>
        <v>TBD</v>
      </c>
      <c r="AE29" s="398" t="str">
        <f t="shared" si="48"/>
        <v>TBD</v>
      </c>
      <c r="AF29" s="388" t="str">
        <f t="shared" si="49"/>
        <v>TBD</v>
      </c>
      <c r="AG29" s="399" t="str">
        <f t="shared" si="50"/>
        <v>TBD</v>
      </c>
    </row>
    <row r="30" spans="1:33" x14ac:dyDescent="0.25">
      <c r="A30" s="39" t="s">
        <v>192</v>
      </c>
      <c r="B30" s="196">
        <f t="shared" ref="B30:Q30" si="71">SUM(B21:B29)</f>
        <v>0.02</v>
      </c>
      <c r="C30" s="197">
        <f t="shared" si="71"/>
        <v>0</v>
      </c>
      <c r="D30" s="198">
        <f t="shared" si="71"/>
        <v>0.02</v>
      </c>
      <c r="E30" s="199">
        <f t="shared" si="71"/>
        <v>0</v>
      </c>
      <c r="F30" s="200">
        <f t="shared" si="71"/>
        <v>0.02</v>
      </c>
      <c r="G30" s="201">
        <f t="shared" si="71"/>
        <v>0</v>
      </c>
      <c r="H30" s="196">
        <f t="shared" si="71"/>
        <v>0.02</v>
      </c>
      <c r="I30" s="197">
        <f t="shared" si="71"/>
        <v>0</v>
      </c>
      <c r="J30" s="198">
        <f t="shared" si="71"/>
        <v>0.02</v>
      </c>
      <c r="K30" s="199">
        <f t="shared" si="71"/>
        <v>0</v>
      </c>
      <c r="L30" s="200">
        <f t="shared" si="71"/>
        <v>0.02</v>
      </c>
      <c r="M30" s="197">
        <f t="shared" si="71"/>
        <v>0</v>
      </c>
      <c r="N30" s="198">
        <f t="shared" si="71"/>
        <v>0.02</v>
      </c>
      <c r="O30" s="199">
        <f t="shared" si="71"/>
        <v>0</v>
      </c>
      <c r="P30" s="200">
        <f t="shared" si="71"/>
        <v>0.02</v>
      </c>
      <c r="Q30" s="201">
        <f t="shared" si="71"/>
        <v>0</v>
      </c>
      <c r="R30" s="389">
        <f t="shared" si="35"/>
        <v>0</v>
      </c>
      <c r="S30" s="390" t="str">
        <f t="shared" si="36"/>
        <v>TBD</v>
      </c>
      <c r="T30" s="391">
        <f t="shared" si="37"/>
        <v>0</v>
      </c>
      <c r="U30" s="400" t="str">
        <f t="shared" si="38"/>
        <v>TBD</v>
      </c>
      <c r="V30" s="392">
        <f t="shared" si="39"/>
        <v>0</v>
      </c>
      <c r="W30" s="390" t="str">
        <f t="shared" si="40"/>
        <v>TBD</v>
      </c>
      <c r="X30" s="391">
        <f t="shared" si="41"/>
        <v>0</v>
      </c>
      <c r="Y30" s="401" t="str">
        <f t="shared" si="42"/>
        <v>TBD</v>
      </c>
      <c r="Z30" s="389">
        <f t="shared" si="43"/>
        <v>0</v>
      </c>
      <c r="AA30" s="401" t="str">
        <f t="shared" si="44"/>
        <v>TBD</v>
      </c>
      <c r="AB30" s="389">
        <f t="shared" si="45"/>
        <v>0</v>
      </c>
      <c r="AC30" s="392" t="str">
        <f t="shared" si="46"/>
        <v>TBD</v>
      </c>
      <c r="AD30" s="391">
        <f t="shared" si="47"/>
        <v>0</v>
      </c>
      <c r="AE30" s="400" t="str">
        <f t="shared" si="48"/>
        <v>TBD</v>
      </c>
      <c r="AF30" s="392">
        <f t="shared" si="49"/>
        <v>0</v>
      </c>
      <c r="AG30" s="401" t="str">
        <f t="shared" si="50"/>
        <v>TBD</v>
      </c>
    </row>
    <row r="31" spans="1:33" x14ac:dyDescent="0.25">
      <c r="A31" s="7"/>
      <c r="B31" s="180"/>
      <c r="C31" s="141"/>
      <c r="D31" s="182"/>
      <c r="E31" s="142"/>
      <c r="F31" s="184"/>
      <c r="G31" s="189"/>
      <c r="H31" s="180"/>
      <c r="I31" s="141"/>
      <c r="J31" s="182"/>
      <c r="K31" s="142"/>
      <c r="L31" s="184"/>
      <c r="M31" s="141"/>
      <c r="N31" s="182"/>
      <c r="O31" s="142"/>
      <c r="P31" s="184"/>
      <c r="Q31" s="189"/>
      <c r="R31" s="385"/>
      <c r="S31" s="386"/>
      <c r="T31" s="393"/>
      <c r="U31" s="394"/>
      <c r="V31" s="395"/>
      <c r="W31" s="386"/>
      <c r="X31" s="393"/>
      <c r="Y31" s="396"/>
      <c r="Z31" s="385"/>
      <c r="AA31" s="396"/>
      <c r="AB31" s="385"/>
      <c r="AC31" s="395"/>
      <c r="AD31" s="393"/>
      <c r="AE31" s="394"/>
      <c r="AF31" s="395"/>
      <c r="AG31" s="396"/>
    </row>
    <row r="32" spans="1:33" x14ac:dyDescent="0.25">
      <c r="A32" s="42" t="s">
        <v>202</v>
      </c>
      <c r="B32" s="205">
        <v>0</v>
      </c>
      <c r="C32" s="206">
        <f>B32*C$38</f>
        <v>0</v>
      </c>
      <c r="D32" s="207">
        <v>0</v>
      </c>
      <c r="E32" s="208">
        <f>D32*E$38</f>
        <v>0</v>
      </c>
      <c r="F32" s="209">
        <v>0</v>
      </c>
      <c r="G32" s="210">
        <f>F32*G$38</f>
        <v>0</v>
      </c>
      <c r="H32" s="205">
        <v>0</v>
      </c>
      <c r="I32" s="206">
        <f>H32*I$38</f>
        <v>0</v>
      </c>
      <c r="J32" s="207">
        <v>0</v>
      </c>
      <c r="K32" s="208">
        <f>J32*K$38</f>
        <v>0</v>
      </c>
      <c r="L32" s="209">
        <v>0</v>
      </c>
      <c r="M32" s="206">
        <f>L32*M$38</f>
        <v>0</v>
      </c>
      <c r="N32" s="207">
        <v>0</v>
      </c>
      <c r="O32" s="208">
        <f>N32*O$38</f>
        <v>0</v>
      </c>
      <c r="P32" s="209">
        <v>0</v>
      </c>
      <c r="Q32" s="210">
        <f>P32*Q$38</f>
        <v>0</v>
      </c>
      <c r="R32" s="402">
        <f t="shared" ref="R32:R33" si="72">IFERROR(J32-H32,"TBD")</f>
        <v>0</v>
      </c>
      <c r="S32" s="403" t="str">
        <f t="shared" ref="S32:S33" si="73">IFERROR(K32/I32-1,"TBD")</f>
        <v>TBD</v>
      </c>
      <c r="T32" s="404">
        <f t="shared" ref="T32:T33" si="74">IFERROR(L32-J32,"TBD")</f>
        <v>0</v>
      </c>
      <c r="U32" s="405" t="str">
        <f t="shared" ref="U32:U33" si="75">IFERROR(M32/K32-1,"TBD")</f>
        <v>TBD</v>
      </c>
      <c r="V32" s="403">
        <f t="shared" ref="V32:V33" si="76">IFERROR(N32-L32,"TBD")</f>
        <v>0</v>
      </c>
      <c r="W32" s="403" t="str">
        <f t="shared" ref="W32:W33" si="77">IFERROR(O32/M32-1,"TBD")</f>
        <v>TBD</v>
      </c>
      <c r="X32" s="404">
        <f t="shared" ref="X32:X33" si="78">IFERROR(P32-N32,"TBD")</f>
        <v>0</v>
      </c>
      <c r="Y32" s="406" t="str">
        <f t="shared" ref="Y32:Y33" si="79">IFERROR(Q32/O32-1,"TBD")</f>
        <v>TBD</v>
      </c>
      <c r="Z32" s="402">
        <f t="shared" si="43"/>
        <v>0</v>
      </c>
      <c r="AA32" s="406" t="str">
        <f t="shared" si="44"/>
        <v>TBD</v>
      </c>
      <c r="AB32" s="402">
        <f t="shared" ref="AB32:AB33" si="80">IFERROR(H32-B32,"TBD")</f>
        <v>0</v>
      </c>
      <c r="AC32" s="403" t="str">
        <f t="shared" ref="AC32:AC33" si="81">IFERROR(I32/C32-1,"TBD")</f>
        <v>TBD</v>
      </c>
      <c r="AD32" s="404">
        <f t="shared" ref="AD32:AD33" si="82">IFERROR(J32-D32,"TBD")</f>
        <v>0</v>
      </c>
      <c r="AE32" s="405" t="str">
        <f t="shared" ref="AE32:AE33" si="83">IFERROR(K32/E32-1,"TBD")</f>
        <v>TBD</v>
      </c>
      <c r="AF32" s="403">
        <f t="shared" ref="AF32:AF33" si="84">IFERROR(L32-F32,"TBD")</f>
        <v>0</v>
      </c>
      <c r="AG32" s="406" t="str">
        <f t="shared" ref="AG32:AG33" si="85">IFERROR(M32/G32-1,"TBD")</f>
        <v>TBD</v>
      </c>
    </row>
    <row r="33" spans="1:33" x14ac:dyDescent="0.25">
      <c r="A33" s="40" t="s">
        <v>203</v>
      </c>
      <c r="B33" s="196">
        <f t="shared" ref="B33:Q33" si="86">SUM(B18,B30,B32)</f>
        <v>0.02</v>
      </c>
      <c r="C33" s="197">
        <f t="shared" si="86"/>
        <v>0</v>
      </c>
      <c r="D33" s="198">
        <f t="shared" si="86"/>
        <v>0.02</v>
      </c>
      <c r="E33" s="199">
        <f t="shared" si="86"/>
        <v>0</v>
      </c>
      <c r="F33" s="200">
        <f t="shared" si="86"/>
        <v>0.02</v>
      </c>
      <c r="G33" s="201">
        <f t="shared" si="86"/>
        <v>0</v>
      </c>
      <c r="H33" s="196">
        <f t="shared" si="86"/>
        <v>0.02</v>
      </c>
      <c r="I33" s="197">
        <f t="shared" si="86"/>
        <v>0</v>
      </c>
      <c r="J33" s="198">
        <f t="shared" si="86"/>
        <v>0.02</v>
      </c>
      <c r="K33" s="199">
        <f t="shared" si="86"/>
        <v>0</v>
      </c>
      <c r="L33" s="200">
        <f t="shared" si="86"/>
        <v>0.02</v>
      </c>
      <c r="M33" s="197">
        <f t="shared" si="86"/>
        <v>0</v>
      </c>
      <c r="N33" s="198">
        <f t="shared" si="86"/>
        <v>0.02</v>
      </c>
      <c r="O33" s="199">
        <f t="shared" si="86"/>
        <v>0</v>
      </c>
      <c r="P33" s="200">
        <f t="shared" si="86"/>
        <v>0.02</v>
      </c>
      <c r="Q33" s="201">
        <f t="shared" si="86"/>
        <v>0</v>
      </c>
      <c r="R33" s="389">
        <f t="shared" si="72"/>
        <v>0</v>
      </c>
      <c r="S33" s="390" t="str">
        <f t="shared" si="73"/>
        <v>TBD</v>
      </c>
      <c r="T33" s="391">
        <f t="shared" si="74"/>
        <v>0</v>
      </c>
      <c r="U33" s="400" t="str">
        <f t="shared" si="75"/>
        <v>TBD</v>
      </c>
      <c r="V33" s="392">
        <f t="shared" si="76"/>
        <v>0</v>
      </c>
      <c r="W33" s="390" t="str">
        <f t="shared" si="77"/>
        <v>TBD</v>
      </c>
      <c r="X33" s="391">
        <f t="shared" si="78"/>
        <v>0</v>
      </c>
      <c r="Y33" s="401" t="str">
        <f t="shared" si="79"/>
        <v>TBD</v>
      </c>
      <c r="Z33" s="389">
        <f t="shared" si="43"/>
        <v>0</v>
      </c>
      <c r="AA33" s="401" t="str">
        <f t="shared" si="44"/>
        <v>TBD</v>
      </c>
      <c r="AB33" s="389">
        <f t="shared" si="80"/>
        <v>0</v>
      </c>
      <c r="AC33" s="392" t="str">
        <f t="shared" si="81"/>
        <v>TBD</v>
      </c>
      <c r="AD33" s="391">
        <f t="shared" si="82"/>
        <v>0</v>
      </c>
      <c r="AE33" s="400" t="str">
        <f t="shared" si="83"/>
        <v>TBD</v>
      </c>
      <c r="AF33" s="392">
        <f t="shared" si="84"/>
        <v>0</v>
      </c>
      <c r="AG33" s="401" t="str">
        <f t="shared" si="85"/>
        <v>TBD</v>
      </c>
    </row>
    <row r="34" spans="1:33" x14ac:dyDescent="0.25">
      <c r="B34" s="180"/>
      <c r="C34" s="141"/>
      <c r="D34" s="182"/>
      <c r="E34" s="142"/>
      <c r="F34" s="184"/>
      <c r="G34" s="189"/>
      <c r="H34" s="180"/>
      <c r="I34" s="141"/>
      <c r="J34" s="182"/>
      <c r="K34" s="142"/>
      <c r="L34" s="184"/>
      <c r="M34" s="141"/>
      <c r="N34" s="182"/>
      <c r="O34" s="142"/>
      <c r="P34" s="184"/>
      <c r="Q34" s="189"/>
      <c r="R34" s="385"/>
      <c r="S34" s="386"/>
      <c r="T34" s="393"/>
      <c r="U34" s="394"/>
      <c r="V34" s="395"/>
      <c r="W34" s="386"/>
      <c r="X34" s="393"/>
      <c r="Y34" s="396"/>
      <c r="Z34" s="385"/>
      <c r="AA34" s="396"/>
      <c r="AB34" s="385"/>
      <c r="AC34" s="395"/>
      <c r="AD34" s="393"/>
      <c r="AE34" s="394"/>
      <c r="AF34" s="395"/>
      <c r="AG34" s="396"/>
    </row>
    <row r="35" spans="1:33" x14ac:dyDescent="0.25">
      <c r="A35" s="42" t="s">
        <v>204</v>
      </c>
      <c r="B35" s="211" t="str">
        <f>IFERROR(C35/C$38,"TBD ")</f>
        <v xml:space="preserve">TBD </v>
      </c>
      <c r="C35" s="212">
        <v>0</v>
      </c>
      <c r="D35" s="213" t="str">
        <f>IFERROR(E35/E$38,"TBD ")</f>
        <v xml:space="preserve">TBD </v>
      </c>
      <c r="E35" s="214">
        <v>0</v>
      </c>
      <c r="F35" s="215" t="str">
        <f>IFERROR(G35/G$38,"TBD ")</f>
        <v xml:space="preserve">TBD </v>
      </c>
      <c r="G35" s="216">
        <v>0</v>
      </c>
      <c r="H35" s="211" t="str">
        <f t="shared" ref="H35" si="87">IFERROR(I35/I$38,"TBD ")</f>
        <v xml:space="preserve">TBD </v>
      </c>
      <c r="I35" s="212">
        <v>0</v>
      </c>
      <c r="J35" s="213" t="str">
        <f t="shared" ref="J35" si="88">IFERROR(K35/K$38,"TBD ")</f>
        <v xml:space="preserve">TBD </v>
      </c>
      <c r="K35" s="214">
        <v>0</v>
      </c>
      <c r="L35" s="215" t="str">
        <f t="shared" ref="L35:P35" si="89">IFERROR(M35/M$38,"TBD ")</f>
        <v xml:space="preserve">TBD </v>
      </c>
      <c r="M35" s="212">
        <v>0</v>
      </c>
      <c r="N35" s="213" t="str">
        <f t="shared" si="89"/>
        <v xml:space="preserve">TBD </v>
      </c>
      <c r="O35" s="214">
        <v>0</v>
      </c>
      <c r="P35" s="215" t="str">
        <f t="shared" si="89"/>
        <v xml:space="preserve">TBD </v>
      </c>
      <c r="Q35" s="216">
        <v>0</v>
      </c>
      <c r="R35" s="402" t="str">
        <f t="shared" ref="R35:R36" si="90">IFERROR(J35-H35,"TBD")</f>
        <v>TBD</v>
      </c>
      <c r="S35" s="403" t="str">
        <f t="shared" ref="S35:Y38" si="91">IFERROR(K35/I35-1,"TBD")</f>
        <v>TBD</v>
      </c>
      <c r="T35" s="404" t="str">
        <f t="shared" ref="T35:T36" si="92">IFERROR(L35-J35,"TBD")</f>
        <v>TBD</v>
      </c>
      <c r="U35" s="405" t="str">
        <f t="shared" ref="U35:U36" si="93">IFERROR(M35/K35-1,"TBD")</f>
        <v>TBD</v>
      </c>
      <c r="V35" s="403" t="str">
        <f t="shared" ref="V35:V36" si="94">IFERROR(N35-L35,"TBD")</f>
        <v>TBD</v>
      </c>
      <c r="W35" s="403" t="str">
        <f t="shared" ref="W35:W36" si="95">IFERROR(O35/M35-1,"TBD")</f>
        <v>TBD</v>
      </c>
      <c r="X35" s="404" t="str">
        <f t="shared" ref="X35:X36" si="96">IFERROR(P35-N35,"TBD")</f>
        <v>TBD</v>
      </c>
      <c r="Y35" s="406" t="str">
        <f t="shared" ref="Y35:Y36" si="97">IFERROR(Q35/O35-1,"TBD")</f>
        <v>TBD</v>
      </c>
      <c r="Z35" s="402" t="str">
        <f t="shared" si="43"/>
        <v>TBD</v>
      </c>
      <c r="AA35" s="406" t="str">
        <f t="shared" si="44"/>
        <v>TBD</v>
      </c>
      <c r="AB35" s="402" t="str">
        <f t="shared" ref="AB35:AB36" si="98">IFERROR(H35-B35,"TBD")</f>
        <v>TBD</v>
      </c>
      <c r="AC35" s="403" t="str">
        <f t="shared" ref="AC35:AC38" si="99">IFERROR(I35/C35-1,"TBD")</f>
        <v>TBD</v>
      </c>
      <c r="AD35" s="404" t="str">
        <f t="shared" ref="AD35:AD36" si="100">IFERROR(J35-D35,"TBD")</f>
        <v>TBD</v>
      </c>
      <c r="AE35" s="405" t="str">
        <f t="shared" ref="AE35:AE36" si="101">IFERROR(K35/E35-1,"TBD")</f>
        <v>TBD</v>
      </c>
      <c r="AF35" s="403" t="str">
        <f t="shared" ref="AF35:AF36" si="102">IFERROR(L35-F35,"TBD")</f>
        <v>TBD</v>
      </c>
      <c r="AG35" s="406" t="str">
        <f t="shared" ref="AG35:AG36" si="103">IFERROR(M35/G35-1,"TBD")</f>
        <v>TBD</v>
      </c>
    </row>
    <row r="36" spans="1:33" x14ac:dyDescent="0.25">
      <c r="A36" s="41" t="s">
        <v>205</v>
      </c>
      <c r="B36" s="196">
        <f t="shared" ref="B36:Q36" si="104">SUM(B33,B35)</f>
        <v>0.02</v>
      </c>
      <c r="C36" s="197">
        <f t="shared" si="104"/>
        <v>0</v>
      </c>
      <c r="D36" s="198">
        <f t="shared" si="104"/>
        <v>0.02</v>
      </c>
      <c r="E36" s="199">
        <f t="shared" si="104"/>
        <v>0</v>
      </c>
      <c r="F36" s="200">
        <f t="shared" si="104"/>
        <v>0.02</v>
      </c>
      <c r="G36" s="201">
        <f t="shared" si="104"/>
        <v>0</v>
      </c>
      <c r="H36" s="196">
        <f t="shared" si="104"/>
        <v>0.02</v>
      </c>
      <c r="I36" s="197">
        <f t="shared" si="104"/>
        <v>0</v>
      </c>
      <c r="J36" s="198">
        <f t="shared" si="104"/>
        <v>0.02</v>
      </c>
      <c r="K36" s="199">
        <f t="shared" si="104"/>
        <v>0</v>
      </c>
      <c r="L36" s="200">
        <f t="shared" si="104"/>
        <v>0.02</v>
      </c>
      <c r="M36" s="197">
        <f t="shared" si="104"/>
        <v>0</v>
      </c>
      <c r="N36" s="198">
        <f t="shared" si="104"/>
        <v>0.02</v>
      </c>
      <c r="O36" s="199">
        <f t="shared" si="104"/>
        <v>0</v>
      </c>
      <c r="P36" s="200">
        <f t="shared" si="104"/>
        <v>0.02</v>
      </c>
      <c r="Q36" s="201">
        <f t="shared" si="104"/>
        <v>0</v>
      </c>
      <c r="R36" s="389">
        <f t="shared" si="90"/>
        <v>0</v>
      </c>
      <c r="S36" s="390" t="str">
        <f t="shared" si="91"/>
        <v>TBD</v>
      </c>
      <c r="T36" s="391">
        <f t="shared" si="92"/>
        <v>0</v>
      </c>
      <c r="U36" s="400" t="str">
        <f t="shared" si="93"/>
        <v>TBD</v>
      </c>
      <c r="V36" s="392">
        <f t="shared" si="94"/>
        <v>0</v>
      </c>
      <c r="W36" s="390" t="str">
        <f t="shared" si="95"/>
        <v>TBD</v>
      </c>
      <c r="X36" s="391">
        <f t="shared" si="96"/>
        <v>0</v>
      </c>
      <c r="Y36" s="401" t="str">
        <f t="shared" si="97"/>
        <v>TBD</v>
      </c>
      <c r="Z36" s="389">
        <f t="shared" si="43"/>
        <v>0</v>
      </c>
      <c r="AA36" s="401" t="str">
        <f t="shared" si="44"/>
        <v>TBD</v>
      </c>
      <c r="AB36" s="389">
        <f t="shared" si="98"/>
        <v>0</v>
      </c>
      <c r="AC36" s="392" t="str">
        <f t="shared" si="99"/>
        <v>TBD</v>
      </c>
      <c r="AD36" s="391">
        <f t="shared" si="100"/>
        <v>0</v>
      </c>
      <c r="AE36" s="400" t="str">
        <f t="shared" si="101"/>
        <v>TBD</v>
      </c>
      <c r="AF36" s="392">
        <f t="shared" si="102"/>
        <v>0</v>
      </c>
      <c r="AG36" s="401" t="str">
        <f t="shared" si="103"/>
        <v>TBD</v>
      </c>
    </row>
    <row r="37" spans="1:33" x14ac:dyDescent="0.25">
      <c r="B37" s="180"/>
      <c r="C37" s="141"/>
      <c r="D37" s="182"/>
      <c r="E37" s="142"/>
      <c r="F37" s="184"/>
      <c r="G37" s="189"/>
      <c r="H37" s="180"/>
      <c r="I37" s="141"/>
      <c r="J37" s="182"/>
      <c r="K37" s="142"/>
      <c r="L37" s="184"/>
      <c r="M37" s="141"/>
      <c r="N37" s="182"/>
      <c r="O37" s="142"/>
      <c r="P37" s="184"/>
      <c r="Q37" s="189"/>
      <c r="R37" s="385"/>
      <c r="S37" s="386"/>
      <c r="T37" s="393"/>
      <c r="U37" s="394"/>
      <c r="V37" s="395"/>
      <c r="W37" s="386"/>
      <c r="X37" s="393"/>
      <c r="Y37" s="396"/>
      <c r="Z37" s="385"/>
      <c r="AA37" s="396"/>
      <c r="AB37" s="385"/>
      <c r="AC37" s="395"/>
      <c r="AD37" s="393"/>
      <c r="AE37" s="394"/>
      <c r="AF37" s="395"/>
      <c r="AG37" s="396"/>
    </row>
    <row r="38" spans="1:33" x14ac:dyDescent="0.25">
      <c r="A38" s="277" t="s">
        <v>206</v>
      </c>
      <c r="B38" s="190"/>
      <c r="C38" s="217">
        <v>0</v>
      </c>
      <c r="D38" s="192"/>
      <c r="E38" s="218">
        <v>0</v>
      </c>
      <c r="F38" s="194"/>
      <c r="G38" s="219">
        <v>0</v>
      </c>
      <c r="H38" s="190"/>
      <c r="I38" s="217">
        <v>0</v>
      </c>
      <c r="J38" s="192"/>
      <c r="K38" s="218">
        <v>0</v>
      </c>
      <c r="L38" s="194"/>
      <c r="M38" s="217">
        <v>0</v>
      </c>
      <c r="N38" s="192"/>
      <c r="O38" s="218">
        <v>0</v>
      </c>
      <c r="P38" s="194"/>
      <c r="Q38" s="219">
        <v>0</v>
      </c>
      <c r="R38" s="387"/>
      <c r="S38" s="388" t="str">
        <f t="shared" si="91"/>
        <v>TBD</v>
      </c>
      <c r="T38" s="397"/>
      <c r="U38" s="398" t="str">
        <f t="shared" si="91"/>
        <v>TBD</v>
      </c>
      <c r="V38" s="388"/>
      <c r="W38" s="388" t="str">
        <f t="shared" si="91"/>
        <v>TBD</v>
      </c>
      <c r="X38" s="397"/>
      <c r="Y38" s="399" t="str">
        <f t="shared" si="91"/>
        <v>TBD</v>
      </c>
      <c r="Z38" s="387"/>
      <c r="AA38" s="399" t="str">
        <f t="shared" si="44"/>
        <v>TBD</v>
      </c>
      <c r="AB38" s="387"/>
      <c r="AC38" s="388" t="str">
        <f t="shared" si="99"/>
        <v>TBD</v>
      </c>
      <c r="AD38" s="397"/>
      <c r="AE38" s="398" t="str">
        <f t="shared" ref="AE38" si="105">IFERROR(K38/E38-1,"TBD")</f>
        <v>TBD</v>
      </c>
      <c r="AF38" s="388"/>
      <c r="AG38" s="399" t="str">
        <f t="shared" ref="AG38" si="106">IFERROR(M38/G38-1,"TBD")</f>
        <v>TBD</v>
      </c>
    </row>
    <row r="40" spans="1:33" x14ac:dyDescent="0.25">
      <c r="A40" t="s">
        <v>207</v>
      </c>
    </row>
    <row r="42" spans="1:33" ht="21.75" thickBot="1" x14ac:dyDescent="0.4">
      <c r="A42" s="131" t="s">
        <v>49</v>
      </c>
      <c r="B42" s="131"/>
      <c r="C42" s="131"/>
      <c r="D42" s="134"/>
      <c r="E42" s="131"/>
    </row>
    <row r="43" spans="1:33" ht="16.5" thickTop="1" x14ac:dyDescent="0.25">
      <c r="A43" s="82"/>
      <c r="B43" s="82"/>
      <c r="C43" s="82"/>
      <c r="D43" s="82"/>
      <c r="E43" s="82"/>
      <c r="F43" s="82"/>
      <c r="G43" s="82"/>
      <c r="H43" s="82"/>
      <c r="I43" s="82"/>
      <c r="J43" s="82"/>
      <c r="K43" s="82"/>
      <c r="L43" s="82"/>
      <c r="M43" s="82"/>
      <c r="N43" s="82"/>
    </row>
    <row r="44" spans="1:33" ht="15.75" x14ac:dyDescent="0.25">
      <c r="A44" s="600"/>
      <c r="B44" s="601"/>
      <c r="C44" s="601"/>
      <c r="D44" s="601"/>
      <c r="E44" s="601"/>
      <c r="F44" s="601"/>
      <c r="G44" s="601"/>
      <c r="H44" s="601"/>
      <c r="I44" s="601"/>
      <c r="J44" s="601"/>
      <c r="K44" s="601"/>
      <c r="L44" s="601"/>
      <c r="M44" s="601"/>
      <c r="N44" s="601"/>
      <c r="O44" s="601"/>
      <c r="P44" s="601"/>
      <c r="Q44" s="601"/>
    </row>
    <row r="45" spans="1:33" ht="15.75" x14ac:dyDescent="0.25">
      <c r="A45" s="600"/>
      <c r="B45" s="601"/>
      <c r="C45" s="601"/>
      <c r="D45" s="601"/>
      <c r="E45" s="601"/>
      <c r="F45" s="601"/>
      <c r="G45" s="601"/>
      <c r="H45" s="601"/>
      <c r="I45" s="601"/>
      <c r="J45" s="601"/>
      <c r="K45" s="601"/>
      <c r="L45" s="601"/>
      <c r="M45" s="601"/>
      <c r="N45" s="601"/>
      <c r="O45" s="601"/>
      <c r="P45" s="601"/>
      <c r="Q45" s="601"/>
    </row>
    <row r="46" spans="1:33" ht="15.75" x14ac:dyDescent="0.25">
      <c r="A46" s="600"/>
      <c r="B46" s="601"/>
      <c r="C46" s="601"/>
      <c r="D46" s="601"/>
      <c r="E46" s="601"/>
      <c r="F46" s="601"/>
      <c r="G46" s="601"/>
      <c r="H46" s="601"/>
      <c r="I46" s="601"/>
      <c r="J46" s="601"/>
      <c r="K46" s="601"/>
      <c r="L46" s="601"/>
      <c r="M46" s="601"/>
      <c r="N46" s="601"/>
      <c r="O46" s="601"/>
      <c r="P46" s="601"/>
      <c r="Q46" s="601"/>
    </row>
  </sheetData>
  <mergeCells count="8">
    <mergeCell ref="A44:Q44"/>
    <mergeCell ref="A45:Q45"/>
    <mergeCell ref="A46:Q46"/>
    <mergeCell ref="Z9:AA10"/>
    <mergeCell ref="B3:M3"/>
    <mergeCell ref="B4:M4"/>
    <mergeCell ref="B5:M5"/>
    <mergeCell ref="B6:M6"/>
  </mergeCells>
  <printOptions horizontalCentered="1"/>
  <pageMargins left="0.25" right="0.25" top="0.75" bottom="0.75" header="0.25" footer="0.25"/>
  <pageSetup scale="37" orientation="landscape" horizontalDpi="1200" verticalDpi="1200" r:id="rId1"/>
  <headerFooter>
    <oddFooter>&amp;L2026 IND &amp;&amp; SG ACA MEDICAL RATE FILINGS -- COMMON EXHIBITS&amp;R03/21/2025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1F1F9-5243-40C2-A716-5EF716EF8746}">
  <sheetPr codeName="Sheet11">
    <tabColor theme="9" tint="-0.499984740745262"/>
    <pageSetUpPr fitToPage="1"/>
  </sheetPr>
  <dimension ref="A1:R32"/>
  <sheetViews>
    <sheetView showGridLines="0" zoomScale="70" zoomScaleNormal="70" workbookViewId="0">
      <pane xSplit="1" ySplit="10" topLeftCell="B11" activePane="bottomRight" state="frozen"/>
      <selection pane="topRight"/>
      <selection pane="bottomLeft"/>
      <selection pane="bottomRight"/>
    </sheetView>
  </sheetViews>
  <sheetFormatPr defaultRowHeight="15" x14ac:dyDescent="0.25"/>
  <cols>
    <col min="1" max="1" width="86.5703125" bestFit="1" customWidth="1"/>
    <col min="2" max="3" width="11" customWidth="1"/>
  </cols>
  <sheetData>
    <row r="1" spans="1:13" ht="26.25" x14ac:dyDescent="0.4">
      <c r="A1" s="272" t="s">
        <v>281</v>
      </c>
    </row>
    <row r="2" spans="1:13" x14ac:dyDescent="0.25">
      <c r="A2" s="261"/>
    </row>
    <row r="3" spans="1:13" ht="18.75" x14ac:dyDescent="0.3">
      <c r="A3" s="98" t="s">
        <v>10</v>
      </c>
      <c r="B3" s="613" t="str">
        <f>CarrierName</f>
        <v>ABC Company</v>
      </c>
      <c r="C3" s="614"/>
      <c r="D3" s="614"/>
      <c r="E3" s="614"/>
      <c r="F3" s="614"/>
      <c r="G3" s="614"/>
      <c r="H3" s="614"/>
      <c r="I3" s="614"/>
      <c r="J3" s="614"/>
      <c r="K3" s="614"/>
      <c r="L3" s="614"/>
      <c r="M3" s="614"/>
    </row>
    <row r="4" spans="1:13" ht="18.75" x14ac:dyDescent="0.3">
      <c r="A4" s="98" t="s">
        <v>0</v>
      </c>
      <c r="B4" s="613" t="str">
        <f>Market</f>
        <v>Individual</v>
      </c>
      <c r="C4" s="614"/>
      <c r="D4" s="614"/>
      <c r="E4" s="614"/>
      <c r="F4" s="614"/>
      <c r="G4" s="614"/>
      <c r="H4" s="614"/>
      <c r="I4" s="614"/>
      <c r="J4" s="614"/>
      <c r="K4" s="614"/>
      <c r="L4" s="614"/>
      <c r="M4" s="614"/>
    </row>
    <row r="5" spans="1:13" ht="18.75" x14ac:dyDescent="0.3">
      <c r="A5" s="98" t="s">
        <v>12</v>
      </c>
      <c r="B5" s="613">
        <f>PlanYear</f>
        <v>2026</v>
      </c>
      <c r="C5" s="614"/>
      <c r="D5" s="614"/>
      <c r="E5" s="614"/>
      <c r="F5" s="614"/>
      <c r="G5" s="614"/>
      <c r="H5" s="614"/>
      <c r="I5" s="614"/>
      <c r="J5" s="614"/>
      <c r="K5" s="614"/>
      <c r="L5" s="614"/>
      <c r="M5" s="614"/>
    </row>
    <row r="6" spans="1:13" ht="18.75" x14ac:dyDescent="0.3">
      <c r="A6" s="98" t="s">
        <v>13</v>
      </c>
      <c r="B6" s="613">
        <f>ExperYear</f>
        <v>2024</v>
      </c>
      <c r="C6" s="614"/>
      <c r="D6" s="614"/>
      <c r="E6" s="614"/>
      <c r="F6" s="614"/>
      <c r="G6" s="614"/>
      <c r="H6" s="614"/>
      <c r="I6" s="614"/>
      <c r="J6" s="614"/>
      <c r="K6" s="614"/>
      <c r="L6" s="614"/>
      <c r="M6" s="614"/>
    </row>
    <row r="7" spans="1:13" x14ac:dyDescent="0.25">
      <c r="A7" s="261"/>
    </row>
    <row r="9" spans="1:13" ht="33.75" customHeight="1" x14ac:dyDescent="0.25">
      <c r="B9" s="59" t="str">
        <f>"PROJECTED 
(i.e., EXPECTED), "&amp;PlanYear</f>
        <v>PROJECTED 
(i.e., EXPECTED), 2026</v>
      </c>
      <c r="C9" s="19"/>
    </row>
    <row r="10" spans="1:13" ht="30" x14ac:dyDescent="0.25">
      <c r="A10" s="51" t="s">
        <v>16</v>
      </c>
      <c r="B10" s="21" t="s">
        <v>171</v>
      </c>
      <c r="C10" s="21" t="s">
        <v>172</v>
      </c>
    </row>
    <row r="11" spans="1:13" x14ac:dyDescent="0.25">
      <c r="A11" t="s">
        <v>173</v>
      </c>
    </row>
    <row r="12" spans="1:13" x14ac:dyDescent="0.25">
      <c r="A12" s="8" t="s">
        <v>174</v>
      </c>
      <c r="B12" s="226">
        <f>'WA Exh 11 - Retention'!P18</f>
        <v>0</v>
      </c>
      <c r="C12" s="15">
        <f>B12*$C$21</f>
        <v>0</v>
      </c>
    </row>
    <row r="13" spans="1:13" x14ac:dyDescent="0.25">
      <c r="A13" s="8" t="s">
        <v>175</v>
      </c>
      <c r="B13" s="226">
        <f>'WA Exh 11 - Retention'!P30</f>
        <v>0.02</v>
      </c>
      <c r="C13" s="15">
        <f>B13*$C$21</f>
        <v>0</v>
      </c>
    </row>
    <row r="14" spans="1:13" x14ac:dyDescent="0.25">
      <c r="A14" s="9" t="s">
        <v>176</v>
      </c>
      <c r="B14" s="227">
        <f>'WA Exh 11 - Retention'!P32</f>
        <v>0</v>
      </c>
      <c r="C14" s="45">
        <f>B14*$C$21</f>
        <v>0</v>
      </c>
    </row>
    <row r="15" spans="1:13" x14ac:dyDescent="0.25">
      <c r="A15" s="8" t="s">
        <v>177</v>
      </c>
      <c r="B15" s="44">
        <f>SUM(B12:B14)</f>
        <v>0.02</v>
      </c>
      <c r="C15" s="15">
        <f>SUM(C12:C14)</f>
        <v>0</v>
      </c>
    </row>
    <row r="17" spans="1:18" x14ac:dyDescent="0.25">
      <c r="A17" t="s">
        <v>178</v>
      </c>
    </row>
    <row r="18" spans="1:18" x14ac:dyDescent="0.25">
      <c r="A18" s="8" t="s">
        <v>179</v>
      </c>
      <c r="C18" s="228">
        <f>'WA Exh 11 - Retention'!Q35</f>
        <v>0</v>
      </c>
    </row>
    <row r="19" spans="1:18" x14ac:dyDescent="0.25">
      <c r="A19" s="8" t="s">
        <v>180</v>
      </c>
      <c r="C19" s="170">
        <v>0</v>
      </c>
    </row>
    <row r="20" spans="1:18" x14ac:dyDescent="0.25">
      <c r="A20" s="8" t="s">
        <v>181</v>
      </c>
      <c r="C20" s="170">
        <f>'WA Exh 10 - Risk Adjustment'!O38</f>
        <v>0</v>
      </c>
    </row>
    <row r="21" spans="1:18" x14ac:dyDescent="0.25">
      <c r="A21" s="8" t="s">
        <v>182</v>
      </c>
      <c r="C21" s="228">
        <f>'WA Exh 11 - Retention'!Q38</f>
        <v>0</v>
      </c>
    </row>
    <row r="23" spans="1:18" x14ac:dyDescent="0.25">
      <c r="A23" t="s">
        <v>183</v>
      </c>
      <c r="C23" s="15">
        <f>C21+C20</f>
        <v>0</v>
      </c>
    </row>
    <row r="24" spans="1:18" x14ac:dyDescent="0.25">
      <c r="A24" s="46" t="s">
        <v>184</v>
      </c>
      <c r="B24" s="46"/>
      <c r="C24" s="45">
        <f>C19+C15+C18</f>
        <v>0</v>
      </c>
    </row>
    <row r="25" spans="1:18" x14ac:dyDescent="0.25">
      <c r="A25" t="s">
        <v>185</v>
      </c>
      <c r="C25" s="15">
        <f>C23-C24</f>
        <v>0</v>
      </c>
    </row>
    <row r="28" spans="1:18" ht="21.75" thickBot="1" x14ac:dyDescent="0.4">
      <c r="A28" s="131" t="s">
        <v>49</v>
      </c>
      <c r="B28" s="131"/>
      <c r="C28" s="131"/>
      <c r="D28" s="134"/>
      <c r="E28" s="131"/>
    </row>
    <row r="29" spans="1:18" ht="16.5" thickTop="1" x14ac:dyDescent="0.25">
      <c r="A29" s="82"/>
      <c r="B29" s="82"/>
      <c r="C29" s="82"/>
      <c r="D29" s="82"/>
      <c r="E29" s="82"/>
      <c r="F29" s="82"/>
      <c r="G29" s="82"/>
      <c r="H29" s="82"/>
      <c r="I29" s="82"/>
      <c r="J29" s="82"/>
      <c r="K29" s="82"/>
      <c r="L29" s="82"/>
      <c r="M29" s="82"/>
      <c r="N29" s="82"/>
      <c r="O29" s="82"/>
    </row>
    <row r="30" spans="1:18" ht="15.75" x14ac:dyDescent="0.25">
      <c r="A30" s="600"/>
      <c r="B30" s="601"/>
      <c r="C30" s="601"/>
      <c r="D30" s="601"/>
      <c r="E30" s="601"/>
      <c r="F30" s="601"/>
      <c r="G30" s="601"/>
      <c r="H30" s="601"/>
      <c r="I30" s="601"/>
      <c r="J30" s="601"/>
      <c r="K30" s="601"/>
      <c r="L30" s="601"/>
      <c r="M30" s="601"/>
      <c r="N30" s="365"/>
      <c r="O30" s="365"/>
      <c r="P30" s="365"/>
      <c r="Q30" s="365"/>
      <c r="R30" s="365"/>
    </row>
    <row r="31" spans="1:18" ht="15.75" x14ac:dyDescent="0.25">
      <c r="A31" s="600"/>
      <c r="B31" s="601"/>
      <c r="C31" s="601"/>
      <c r="D31" s="601"/>
      <c r="E31" s="601"/>
      <c r="F31" s="601"/>
      <c r="G31" s="601"/>
      <c r="H31" s="601"/>
      <c r="I31" s="601"/>
      <c r="J31" s="601"/>
      <c r="K31" s="601"/>
      <c r="L31" s="601"/>
      <c r="M31" s="601"/>
      <c r="N31" s="365"/>
      <c r="O31" s="365"/>
      <c r="P31" s="365"/>
      <c r="Q31" s="365"/>
      <c r="R31" s="365"/>
    </row>
    <row r="32" spans="1:18" ht="15.75" x14ac:dyDescent="0.25">
      <c r="A32" s="600"/>
      <c r="B32" s="601"/>
      <c r="C32" s="601"/>
      <c r="D32" s="601"/>
      <c r="E32" s="601"/>
      <c r="F32" s="601"/>
      <c r="G32" s="601"/>
      <c r="H32" s="601"/>
      <c r="I32" s="601"/>
      <c r="J32" s="601"/>
      <c r="K32" s="601"/>
      <c r="L32" s="601"/>
      <c r="M32" s="601"/>
      <c r="N32" s="365"/>
      <c r="O32" s="365"/>
      <c r="P32" s="365"/>
      <c r="Q32" s="365"/>
      <c r="R32" s="365"/>
    </row>
  </sheetData>
  <mergeCells count="7">
    <mergeCell ref="A31:M31"/>
    <mergeCell ref="A32:M32"/>
    <mergeCell ref="B3:M3"/>
    <mergeCell ref="B4:M4"/>
    <mergeCell ref="B5:M5"/>
    <mergeCell ref="B6:M6"/>
    <mergeCell ref="A30:M30"/>
  </mergeCells>
  <conditionalFormatting sqref="C25">
    <cfRule type="expression" dxfId="0" priority="1">
      <formula>ABS(C25)&gt;0.5</formula>
    </cfRule>
  </conditionalFormatting>
  <printOptions horizontalCentered="1"/>
  <pageMargins left="0.25" right="0.25" top="0.75" bottom="0.75" header="0.25" footer="0.25"/>
  <pageSetup scale="67" orientation="landscape" horizontalDpi="1200" verticalDpi="1200" r:id="rId1"/>
  <headerFooter>
    <oddFooter>&amp;L2026 IND &amp;&amp; SG ACA MEDICAL RATE FILINGS -- COMMON EXHIBITS&amp;R03/21/2025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9B6C0B-86E8-45F2-8CBA-A87AE7507354}">
  <ds:schemaRefs>
    <ds:schemaRef ds:uri="http://schemas.microsoft.com/office/infopath/2007/PartnerControls"/>
    <ds:schemaRef ds:uri="ac9957ec-0e1b-4d3a-a814-8fbf9edb18db"/>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bade567d-aaa0-4c25-b66c-107a86b94e0e"/>
    <ds:schemaRef ds:uri="http://schemas.microsoft.com/sharepoint/v3"/>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42EFB203-7AC6-4CC4-8378-54CBB09B3255}">
  <ds:schemaRefs>
    <ds:schemaRef ds:uri="http://schemas.microsoft.com/sharepoint/v3/contenttype/forms"/>
  </ds:schemaRefs>
</ds:datastoreItem>
</file>

<file path=customXml/itemProps3.xml><?xml version="1.0" encoding="utf-8"?>
<ds:datastoreItem xmlns:ds="http://schemas.openxmlformats.org/officeDocument/2006/customXml" ds:itemID="{F92ED433-33DC-42C0-A692-11038B46D2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Lookups</vt:lpstr>
      <vt:lpstr>WA Exh 1 - Experience Data</vt:lpstr>
      <vt:lpstr>WA Exh 2 - Actual vs. Expected</vt:lpstr>
      <vt:lpstr>WA Exh 3 - Trend Analysis</vt:lpstr>
      <vt:lpstr>WA Exh 3 - Example</vt:lpstr>
      <vt:lpstr>Service MixIntensity_Example</vt:lpstr>
      <vt:lpstr>WA Exh 4 - Normalized Trend</vt:lpstr>
      <vt:lpstr>WA Exh 4 - Example</vt:lpstr>
      <vt:lpstr>WA Exh 5 - w1 Pool Factors</vt:lpstr>
      <vt:lpstr>WA Exh 6 - Actuarial Values</vt:lpstr>
      <vt:lpstr>WA Exh 7 - w2AggregateFactors</vt:lpstr>
      <vt:lpstr>WA Exh 8 - CSR Experience</vt:lpstr>
      <vt:lpstr>WA Exh 9 - AV and Cost-Share</vt:lpstr>
      <vt:lpstr>WA Exh 10 - Risk Adjustment</vt:lpstr>
      <vt:lpstr>WA Exh 11 - Retention</vt:lpstr>
      <vt:lpstr>WA Exh 12 - w2 Proj Recon</vt:lpstr>
      <vt:lpstr>CarrierName</vt:lpstr>
      <vt:lpstr>ExperYear</vt:lpstr>
      <vt:lpstr>Market</vt:lpstr>
      <vt:lpstr>Market_List</vt:lpstr>
      <vt:lpstr>PlanYear</vt:lpstr>
      <vt:lpstr>'WA Exh 2 - Actual vs. Expected'!Print_Area</vt:lpstr>
      <vt:lpstr>'WA Exh 4 - Example'!Print_Area</vt:lpstr>
      <vt:lpstr>'WA Exh 4 - Normalized Trend'!Print_Area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Patterson, Rocky (OIC)</dc:creator>
  <cp:keywords/>
  <dc:description/>
  <cp:lastModifiedBy>Patterson, Rocky (OIC)</cp:lastModifiedBy>
  <cp:revision/>
  <cp:lastPrinted>2025-02-20T00:42:11Z</cp:lastPrinted>
  <dcterms:created xsi:type="dcterms:W3CDTF">2015-06-05T18:17:20Z</dcterms:created>
  <dcterms:modified xsi:type="dcterms:W3CDTF">2025-03-11T22:03:29Z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