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9.xml" ContentType="application/vnd.openxmlformats-officedocument.spreadsheetml.table+xml"/>
  <Override PartName="/xl/drawings/drawing13.xml" ContentType="application/vnd.openxmlformats-officedocument.drawing+xml"/>
  <Override PartName="/xl/tables/table10.xml" ContentType="application/vnd.openxmlformats-officedocument.spreadsheetml.table+xml"/>
  <Override PartName="/xl/drawings/drawing14.xml" ContentType="application/vnd.openxmlformats-officedocument.drawing+xml"/>
  <Override PartName="/xl/tables/table11.xml" ContentType="application/vnd.openxmlformats-officedocument.spreadsheetml.table+xml"/>
  <Override PartName="/xl/drawings/drawing15.xml" ContentType="application/vnd.openxmlformats-officedocument.drawing+xml"/>
  <Override PartName="/xl/tables/table12.xml" ContentType="application/vnd.openxmlformats-officedocument.spreadsheetml.tab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stateofwa.sharepoint.com/sites/OIC-RatesFormsProviderNetworks/ReviewerFilesGeneral/Drafting Folder/Drafting/"/>
    </mc:Choice>
  </mc:AlternateContent>
  <xr:revisionPtr revIDLastSave="6067" documentId="8_{D4FD2097-34BC-410E-B940-357EF997511D}" xr6:coauthVersionLast="47" xr6:coauthVersionMax="47" xr10:uidLastSave="{60A8A567-1417-47CB-9EA4-C06962DCD495}"/>
  <bookViews>
    <workbookView xWindow="-120" yWindow="-120" windowWidth="29040" windowHeight="15840" tabRatio="878" firstSheet="1" activeTab="1" xr2:uid="{00000000-000D-0000-FFFF-FFFF00000000}"/>
  </bookViews>
  <sheets>
    <sheet name="Lookups" sheetId="14" state="hidden" r:id="rId1"/>
    <sheet name="Instructions" sheetId="31" r:id="rId2"/>
    <sheet name="WA Exh 1 - Experience Data" sheetId="11" r:id="rId3"/>
    <sheet name="WA Exh 2 - Actual vs. Expected" sheetId="4" r:id="rId4"/>
    <sheet name="WA Exh 3 - Trend Analysis" sheetId="13" r:id="rId5"/>
    <sheet name="WA Exh 3 - Example" sheetId="27" r:id="rId6"/>
    <sheet name="Service MixIntensity_Example" sheetId="7" r:id="rId7"/>
    <sheet name="WA Exh 4 - Normalized Trend" sheetId="15" r:id="rId8"/>
    <sheet name="WA Exh 4 - Example" sheetId="25" r:id="rId9"/>
    <sheet name="WA Exh 5 - w1 Pool Factors" sheetId="16" r:id="rId10"/>
    <sheet name="WA Exh 6 - Actuarial Values" sheetId="24" r:id="rId11"/>
    <sheet name="WA Exh 6 - Example" sheetId="28" r:id="rId12"/>
    <sheet name="WA Exh 7 - w2AggregateFactors" sheetId="22" r:id="rId13"/>
    <sheet name="WA Exh 8 - CSR Experience" sheetId="23" r:id="rId14"/>
    <sheet name="WA Exh 8 - Example" sheetId="29" r:id="rId15"/>
    <sheet name="WA Exh 9 - AV and Cost-Share" sheetId="26" r:id="rId16"/>
    <sheet name="WA Exh 9 - example" sheetId="30" r:id="rId17"/>
    <sheet name="WA Exh 10 - Risk Adjustment" sheetId="9" r:id="rId18"/>
    <sheet name="WA Exh 11 - Retention" sheetId="8" r:id="rId19"/>
    <sheet name="WA Exh 12 - w2 Proj Recon" sheetId="10" r:id="rId20"/>
  </sheets>
  <definedNames>
    <definedName name="CarrierName">'WA Exh 1 - Experience Data'!$E$3</definedName>
    <definedName name="ExperYear">'WA Exh 2 - Actual vs. Expected'!$C$6</definedName>
    <definedName name="Market">'WA Exh 1 - Experience Data'!$E$4</definedName>
    <definedName name="Market_List">Lookups!$A$2:$A$3</definedName>
    <definedName name="PlanYear">'WA Exh 1 - Experience Data'!$E$5</definedName>
    <definedName name="_xlnm.Print_Area" localSheetId="3">'WA Exh 2 - Actual vs. Expected'!$A$1:$L$50</definedName>
    <definedName name="_xlnm.Print_Area" localSheetId="8">'WA Exh 4 - Example'!$A$1:$U$65</definedName>
    <definedName name="_xlnm.Print_Area" localSheetId="7">'WA Exh 4 - Normalized Trend'!$A$1:$U$64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4" l="1"/>
  <c r="C4" i="4"/>
  <c r="C3" i="4"/>
  <c r="K11" i="28"/>
  <c r="C23" i="10"/>
  <c r="W60" i="9"/>
  <c r="T60" i="9"/>
  <c r="S60" i="9"/>
  <c r="R60" i="9"/>
  <c r="Q60" i="9"/>
  <c r="P60" i="9"/>
  <c r="P70" i="9"/>
  <c r="O70" i="9" s="1"/>
  <c r="P68" i="9"/>
  <c r="P66" i="9"/>
  <c r="P65" i="9"/>
  <c r="P62" i="9"/>
  <c r="O62" i="9" s="1"/>
  <c r="P50" i="9"/>
  <c r="P49" i="9"/>
  <c r="P48" i="9"/>
  <c r="P47" i="9"/>
  <c r="P46" i="9"/>
  <c r="Z45" i="9"/>
  <c r="O68" i="9"/>
  <c r="O66" i="9"/>
  <c r="O65" i="9"/>
  <c r="O45" i="9"/>
  <c r="Z13" i="9"/>
  <c r="O13" i="9"/>
  <c r="O38" i="9"/>
  <c r="O36" i="9"/>
  <c r="O34" i="9"/>
  <c r="O33" i="9"/>
  <c r="O30" i="9"/>
  <c r="C38" i="9"/>
  <c r="C36" i="9"/>
  <c r="C34" i="9"/>
  <c r="C33" i="9"/>
  <c r="C30" i="9"/>
  <c r="C13" i="9"/>
  <c r="W59" i="9"/>
  <c r="T59" i="9"/>
  <c r="S59" i="9"/>
  <c r="R59" i="9"/>
  <c r="Q59" i="9"/>
  <c r="W57" i="9"/>
  <c r="T57" i="9"/>
  <c r="S57" i="9"/>
  <c r="R57" i="9"/>
  <c r="Q57" i="9"/>
  <c r="K11" i="30" l="1"/>
  <c r="K12" i="30"/>
  <c r="K13" i="30"/>
  <c r="K14" i="30"/>
  <c r="K15" i="30"/>
  <c r="K16" i="30"/>
  <c r="K17" i="30"/>
  <c r="K18" i="30"/>
  <c r="K10" i="26"/>
  <c r="K11" i="26"/>
  <c r="K12" i="26"/>
  <c r="K13" i="26"/>
  <c r="K14" i="26"/>
  <c r="K15" i="26"/>
  <c r="K16" i="26"/>
  <c r="K17" i="26"/>
  <c r="L18" i="30"/>
  <c r="J18" i="30"/>
  <c r="H18" i="30"/>
  <c r="L17" i="30"/>
  <c r="J17" i="30"/>
  <c r="H17" i="30"/>
  <c r="L16" i="30"/>
  <c r="J16" i="30"/>
  <c r="H16" i="30"/>
  <c r="L15" i="30"/>
  <c r="J15" i="30"/>
  <c r="H15" i="30"/>
  <c r="L14" i="30"/>
  <c r="J14" i="30"/>
  <c r="H14" i="30"/>
  <c r="L13" i="30"/>
  <c r="J13" i="30"/>
  <c r="H13" i="30"/>
  <c r="L12" i="30"/>
  <c r="J12" i="30"/>
  <c r="H12" i="30"/>
  <c r="L11" i="30"/>
  <c r="J11" i="30"/>
  <c r="H11" i="30"/>
  <c r="B6" i="30"/>
  <c r="B5" i="30"/>
  <c r="B4" i="30"/>
  <c r="M13" i="29"/>
  <c r="K13" i="29"/>
  <c r="I13" i="29"/>
  <c r="M12" i="29"/>
  <c r="K12" i="29"/>
  <c r="I12" i="29"/>
  <c r="M11" i="29"/>
  <c r="K11" i="29"/>
  <c r="I11" i="29"/>
  <c r="B6" i="29"/>
  <c r="B5" i="29"/>
  <c r="B4" i="29"/>
  <c r="K17" i="28"/>
  <c r="J17" i="28"/>
  <c r="I17" i="28"/>
  <c r="K13" i="28"/>
  <c r="J13" i="28"/>
  <c r="I13" i="28"/>
  <c r="K12" i="28"/>
  <c r="J12" i="28"/>
  <c r="I12" i="28"/>
  <c r="J11" i="28"/>
  <c r="I11" i="28"/>
  <c r="B6" i="28"/>
  <c r="B5" i="28"/>
  <c r="B4" i="28"/>
  <c r="C6" i="25"/>
  <c r="C5" i="25"/>
  <c r="C4" i="25"/>
  <c r="C5" i="15"/>
  <c r="C4" i="15"/>
  <c r="C3" i="15"/>
  <c r="J10" i="26"/>
  <c r="J11" i="26"/>
  <c r="J12" i="26"/>
  <c r="J13" i="26"/>
  <c r="J14" i="26"/>
  <c r="J15" i="26"/>
  <c r="J16" i="26"/>
  <c r="J17" i="26"/>
  <c r="L14" i="26"/>
  <c r="L15" i="26"/>
  <c r="L16" i="26"/>
  <c r="L17" i="26"/>
  <c r="Q15" i="22"/>
  <c r="P15" i="22"/>
  <c r="O15" i="22"/>
  <c r="N15" i="22"/>
  <c r="M15" i="22"/>
  <c r="L15" i="22"/>
  <c r="K15" i="22"/>
  <c r="J15" i="22"/>
  <c r="Q14" i="22"/>
  <c r="P14" i="22"/>
  <c r="O14" i="22"/>
  <c r="N14" i="22"/>
  <c r="M14" i="22"/>
  <c r="L14" i="22"/>
  <c r="K14" i="22"/>
  <c r="J14" i="22"/>
  <c r="Q13" i="22"/>
  <c r="P13" i="22"/>
  <c r="O13" i="22"/>
  <c r="N13" i="22"/>
  <c r="M13" i="22"/>
  <c r="L13" i="22"/>
  <c r="K13" i="22"/>
  <c r="J13" i="22"/>
  <c r="Q12" i="22"/>
  <c r="P12" i="22"/>
  <c r="O12" i="22"/>
  <c r="N12" i="22"/>
  <c r="M12" i="22"/>
  <c r="L12" i="22"/>
  <c r="K12" i="22"/>
  <c r="J12" i="22"/>
  <c r="Q11" i="22"/>
  <c r="P11" i="22"/>
  <c r="O11" i="22"/>
  <c r="N11" i="22"/>
  <c r="M11" i="22"/>
  <c r="L11" i="22"/>
  <c r="K11" i="22"/>
  <c r="J11" i="22"/>
  <c r="N43" i="13"/>
  <c r="N42" i="13"/>
  <c r="N41" i="13"/>
  <c r="N40" i="13"/>
  <c r="N34" i="13"/>
  <c r="N33" i="13"/>
  <c r="N32" i="13"/>
  <c r="N31" i="13"/>
  <c r="N25" i="13"/>
  <c r="N24" i="13"/>
  <c r="N23" i="13"/>
  <c r="N22" i="13"/>
  <c r="J43" i="13"/>
  <c r="J42" i="13"/>
  <c r="J41" i="13"/>
  <c r="J40" i="13"/>
  <c r="I43" i="13"/>
  <c r="I42" i="13"/>
  <c r="I41" i="13"/>
  <c r="I40" i="13"/>
  <c r="H44" i="13"/>
  <c r="H43" i="13"/>
  <c r="H42" i="13"/>
  <c r="H41" i="13"/>
  <c r="H40" i="13"/>
  <c r="J34" i="13"/>
  <c r="J33" i="13"/>
  <c r="J32" i="13"/>
  <c r="J31" i="13"/>
  <c r="I34" i="13"/>
  <c r="I33" i="13"/>
  <c r="I32" i="13"/>
  <c r="I31" i="13"/>
  <c r="H35" i="13"/>
  <c r="H34" i="13"/>
  <c r="H33" i="13"/>
  <c r="H32" i="13"/>
  <c r="H31" i="13"/>
  <c r="J25" i="13"/>
  <c r="J24" i="13"/>
  <c r="J23" i="13"/>
  <c r="J22" i="13"/>
  <c r="I25" i="13"/>
  <c r="I24" i="13"/>
  <c r="I23" i="13"/>
  <c r="I22" i="13"/>
  <c r="H26" i="13"/>
  <c r="H25" i="13"/>
  <c r="H24" i="13"/>
  <c r="H23" i="13"/>
  <c r="H22" i="13"/>
  <c r="M44" i="27" a="1"/>
  <c r="M44" i="27" s="1"/>
  <c r="N44" i="27" s="1"/>
  <c r="J44" i="27"/>
  <c r="I44" i="27"/>
  <c r="E44" i="27"/>
  <c r="M43" i="27" a="1"/>
  <c r="M43" i="27" s="1"/>
  <c r="N43" i="27" s="1"/>
  <c r="J43" i="27"/>
  <c r="I43" i="27"/>
  <c r="E43" i="27"/>
  <c r="H43" i="27" s="1"/>
  <c r="M42" i="27" a="1"/>
  <c r="M42" i="27" s="1"/>
  <c r="J42" i="27"/>
  <c r="I42" i="27"/>
  <c r="E42" i="27"/>
  <c r="H42" i="27" s="1"/>
  <c r="M41" i="27" a="1"/>
  <c r="M41" i="27" s="1"/>
  <c r="N41" i="27" s="1"/>
  <c r="J41" i="27"/>
  <c r="I41" i="27"/>
  <c r="E41" i="27"/>
  <c r="A38" i="27"/>
  <c r="M35" i="27" a="1"/>
  <c r="M35" i="27" s="1"/>
  <c r="J35" i="27"/>
  <c r="I35" i="27"/>
  <c r="E35" i="27"/>
  <c r="H44" i="27" s="1"/>
  <c r="M34" i="27" a="1"/>
  <c r="M34" i="27" s="1"/>
  <c r="N34" i="27" s="1"/>
  <c r="J34" i="27"/>
  <c r="I34" i="27"/>
  <c r="E34" i="27"/>
  <c r="M33" i="27" a="1"/>
  <c r="M33" i="27" s="1"/>
  <c r="N33" i="27" s="1"/>
  <c r="J33" i="27"/>
  <c r="I33" i="27"/>
  <c r="E33" i="27"/>
  <c r="M32" i="27" a="1"/>
  <c r="M32" i="27" s="1"/>
  <c r="J32" i="27"/>
  <c r="I32" i="27"/>
  <c r="E32" i="27"/>
  <c r="E36" i="27" s="1"/>
  <c r="M26" i="27"/>
  <c r="N26" i="27" s="1"/>
  <c r="M26" i="27" a="1"/>
  <c r="J26" i="27"/>
  <c r="I26" i="27"/>
  <c r="E26" i="27"/>
  <c r="M25" i="27" a="1"/>
  <c r="M25" i="27" s="1"/>
  <c r="N25" i="27" s="1"/>
  <c r="J25" i="27"/>
  <c r="I25" i="27"/>
  <c r="E25" i="27"/>
  <c r="M24" i="27" a="1"/>
  <c r="M24" i="27" s="1"/>
  <c r="J24" i="27"/>
  <c r="I24" i="27"/>
  <c r="E24" i="27"/>
  <c r="H24" i="27" s="1"/>
  <c r="M23" i="27" a="1"/>
  <c r="M23" i="27" s="1"/>
  <c r="J23" i="27"/>
  <c r="I23" i="27"/>
  <c r="E23" i="27"/>
  <c r="E17" i="27"/>
  <c r="E16" i="27"/>
  <c r="E15" i="27"/>
  <c r="E14" i="27"/>
  <c r="E18" i="27" s="1"/>
  <c r="C6" i="27"/>
  <c r="C5" i="27"/>
  <c r="C4" i="27"/>
  <c r="N42" i="27" l="1"/>
  <c r="N23" i="27"/>
  <c r="N35" i="27"/>
  <c r="E27" i="27"/>
  <c r="H33" i="27"/>
  <c r="E45" i="27"/>
  <c r="H45" i="27" s="1"/>
  <c r="N24" i="27"/>
  <c r="N32" i="27"/>
  <c r="H23" i="27"/>
  <c r="H26" i="27"/>
  <c r="H36" i="27"/>
  <c r="H34" i="27"/>
  <c r="H27" i="27"/>
  <c r="H25" i="27"/>
  <c r="H41" i="27"/>
  <c r="H35" i="27"/>
  <c r="H32" i="27"/>
  <c r="AH68" i="9" l="1"/>
  <c r="AH66" i="9"/>
  <c r="AH65" i="9"/>
  <c r="AH62" i="9"/>
  <c r="AH50" i="9"/>
  <c r="AG50" i="9"/>
  <c r="AH49" i="9"/>
  <c r="AG49" i="9"/>
  <c r="AH48" i="9"/>
  <c r="AG48" i="9"/>
  <c r="AH47" i="9"/>
  <c r="AG47" i="9"/>
  <c r="AH46" i="9"/>
  <c r="AG46" i="9"/>
  <c r="AH45" i="9"/>
  <c r="AE68" i="9"/>
  <c r="AD68" i="9"/>
  <c r="AC68" i="9"/>
  <c r="AB68" i="9"/>
  <c r="AE66" i="9"/>
  <c r="AD66" i="9"/>
  <c r="AC66" i="9"/>
  <c r="AB66" i="9"/>
  <c r="AE65" i="9"/>
  <c r="AD65" i="9"/>
  <c r="AC65" i="9"/>
  <c r="AB65" i="9"/>
  <c r="AE62" i="9"/>
  <c r="AD62" i="9"/>
  <c r="AC62" i="9"/>
  <c r="AB62" i="9"/>
  <c r="Y50" i="9"/>
  <c r="Y49" i="9"/>
  <c r="Y47" i="9"/>
  <c r="Y46" i="9"/>
  <c r="Y48" i="9"/>
  <c r="AE50" i="9"/>
  <c r="AD50" i="9"/>
  <c r="AC50" i="9"/>
  <c r="AB50" i="9"/>
  <c r="AE49" i="9"/>
  <c r="AD49" i="9"/>
  <c r="AC49" i="9"/>
  <c r="AB49" i="9"/>
  <c r="AE48" i="9"/>
  <c r="AD48" i="9"/>
  <c r="AC48" i="9"/>
  <c r="AB48" i="9"/>
  <c r="AE47" i="9"/>
  <c r="AD47" i="9"/>
  <c r="AC47" i="9"/>
  <c r="AB47" i="9"/>
  <c r="AE46" i="9"/>
  <c r="AD46" i="9"/>
  <c r="AC46" i="9"/>
  <c r="AB46" i="9"/>
  <c r="AE45" i="9"/>
  <c r="AD45" i="9"/>
  <c r="AC45" i="9"/>
  <c r="AB45" i="9"/>
  <c r="W70" i="9"/>
  <c r="T70" i="9"/>
  <c r="S70" i="9"/>
  <c r="R70" i="9"/>
  <c r="Q70" i="9"/>
  <c r="W58" i="9"/>
  <c r="V58" i="9"/>
  <c r="T58" i="9"/>
  <c r="S58" i="9"/>
  <c r="R58" i="9"/>
  <c r="Q58" i="9"/>
  <c r="N58" i="9"/>
  <c r="W56" i="9"/>
  <c r="V56" i="9"/>
  <c r="T56" i="9"/>
  <c r="S56" i="9"/>
  <c r="R56" i="9"/>
  <c r="Q56" i="9"/>
  <c r="N56" i="9"/>
  <c r="V55" i="9"/>
  <c r="AG55" i="9" s="1"/>
  <c r="N55" i="9"/>
  <c r="Y55" i="9" s="1"/>
  <c r="P45" i="9"/>
  <c r="J16" i="24"/>
  <c r="K16" i="24"/>
  <c r="I16" i="24"/>
  <c r="J10" i="24"/>
  <c r="K10" i="24"/>
  <c r="J11" i="24"/>
  <c r="K11" i="24"/>
  <c r="J12" i="24"/>
  <c r="K12" i="24"/>
  <c r="I10" i="24"/>
  <c r="I11" i="24"/>
  <c r="I12" i="24"/>
  <c r="L13" i="26"/>
  <c r="L12" i="26"/>
  <c r="L11" i="26"/>
  <c r="L10" i="26"/>
  <c r="B5" i="26"/>
  <c r="B4" i="26"/>
  <c r="B3" i="26"/>
  <c r="Z46" i="25"/>
  <c r="D46" i="25"/>
  <c r="Z45" i="25"/>
  <c r="D45" i="25"/>
  <c r="Z44" i="25"/>
  <c r="D44" i="25"/>
  <c r="Z43" i="25"/>
  <c r="D43" i="25"/>
  <c r="Z42" i="25"/>
  <c r="D42" i="25"/>
  <c r="Z41" i="25"/>
  <c r="D41" i="25"/>
  <c r="Z40" i="25"/>
  <c r="D40" i="25"/>
  <c r="Z39" i="25"/>
  <c r="D39" i="25"/>
  <c r="Z38" i="25"/>
  <c r="D38" i="25"/>
  <c r="Z37" i="25"/>
  <c r="D37" i="25"/>
  <c r="Z36" i="25"/>
  <c r="N36" i="25"/>
  <c r="N37" i="25" s="1"/>
  <c r="N38" i="25" s="1"/>
  <c r="N39" i="25" s="1"/>
  <c r="N40" i="25" s="1"/>
  <c r="N41" i="25" s="1"/>
  <c r="N42" i="25" s="1"/>
  <c r="N43" i="25" s="1"/>
  <c r="N44" i="25" s="1"/>
  <c r="N45" i="25" s="1"/>
  <c r="N46" i="25" s="1"/>
  <c r="M36" i="25"/>
  <c r="L36" i="25"/>
  <c r="L37" i="25" s="1"/>
  <c r="L38" i="25" s="1"/>
  <c r="L39" i="25" s="1"/>
  <c r="L40" i="25" s="1"/>
  <c r="L41" i="25" s="1"/>
  <c r="L42" i="25" s="1"/>
  <c r="L43" i="25" s="1"/>
  <c r="L44" i="25" s="1"/>
  <c r="L45" i="25" s="1"/>
  <c r="L46" i="25" s="1"/>
  <c r="K36" i="25"/>
  <c r="K37" i="25" s="1"/>
  <c r="K38" i="25" s="1"/>
  <c r="D36" i="25"/>
  <c r="Z35" i="25"/>
  <c r="O35" i="25"/>
  <c r="D35" i="25"/>
  <c r="Z34" i="25"/>
  <c r="D34" i="25"/>
  <c r="Z33" i="25"/>
  <c r="D33" i="25"/>
  <c r="Z32" i="25"/>
  <c r="D32" i="25"/>
  <c r="Z31" i="25"/>
  <c r="D31" i="25"/>
  <c r="Z30" i="25"/>
  <c r="D30" i="25"/>
  <c r="Z29" i="25"/>
  <c r="D29" i="25"/>
  <c r="Z28" i="25"/>
  <c r="D28" i="25"/>
  <c r="Z27" i="25"/>
  <c r="D27" i="25"/>
  <c r="Z26" i="25"/>
  <c r="D26" i="25"/>
  <c r="Z25" i="25"/>
  <c r="D25" i="25"/>
  <c r="Z24" i="25"/>
  <c r="N24" i="25"/>
  <c r="N25" i="25" s="1"/>
  <c r="N26" i="25" s="1"/>
  <c r="N27" i="25" s="1"/>
  <c r="N28" i="25" s="1"/>
  <c r="N29" i="25" s="1"/>
  <c r="N30" i="25" s="1"/>
  <c r="N31" i="25" s="1"/>
  <c r="N32" i="25" s="1"/>
  <c r="N33" i="25" s="1"/>
  <c r="N34" i="25" s="1"/>
  <c r="M24" i="25"/>
  <c r="M25" i="25" s="1"/>
  <c r="M26" i="25" s="1"/>
  <c r="M27" i="25" s="1"/>
  <c r="M28" i="25" s="1"/>
  <c r="M29" i="25" s="1"/>
  <c r="M30" i="25" s="1"/>
  <c r="M31" i="25" s="1"/>
  <c r="M32" i="25" s="1"/>
  <c r="M33" i="25" s="1"/>
  <c r="M34" i="25" s="1"/>
  <c r="L24" i="25"/>
  <c r="K24" i="25"/>
  <c r="K25" i="25" s="1"/>
  <c r="D24" i="25"/>
  <c r="Z23" i="25"/>
  <c r="Y23" i="25"/>
  <c r="Y24" i="25" s="1"/>
  <c r="O23" i="25"/>
  <c r="D23" i="25"/>
  <c r="Z22" i="25"/>
  <c r="O22" i="25"/>
  <c r="D22" i="25"/>
  <c r="Z21" i="25"/>
  <c r="O21" i="25"/>
  <c r="D21" i="25"/>
  <c r="Z20" i="25"/>
  <c r="O20" i="25"/>
  <c r="D20" i="25"/>
  <c r="Z19" i="25"/>
  <c r="O19" i="25"/>
  <c r="D19" i="25"/>
  <c r="Z18" i="25"/>
  <c r="O18" i="25"/>
  <c r="D18" i="25"/>
  <c r="Z17" i="25"/>
  <c r="O17" i="25"/>
  <c r="D17" i="25"/>
  <c r="Z16" i="25"/>
  <c r="O16" i="25"/>
  <c r="D16" i="25"/>
  <c r="Z15" i="25"/>
  <c r="O15" i="25"/>
  <c r="D15" i="25"/>
  <c r="Z14" i="25"/>
  <c r="O14" i="25"/>
  <c r="D14" i="25"/>
  <c r="Z13" i="25"/>
  <c r="O13" i="25"/>
  <c r="D13" i="25"/>
  <c r="Z12" i="25"/>
  <c r="Y12" i="25"/>
  <c r="Y13" i="25" s="1"/>
  <c r="O12" i="25"/>
  <c r="D12" i="25"/>
  <c r="Z11" i="25"/>
  <c r="O11" i="25"/>
  <c r="D11" i="25"/>
  <c r="B22" i="22"/>
  <c r="AH36" i="9"/>
  <c r="AH34" i="9"/>
  <c r="AH33" i="9"/>
  <c r="AE36" i="9"/>
  <c r="AD36" i="9"/>
  <c r="AC36" i="9"/>
  <c r="AB36" i="9"/>
  <c r="AE34" i="9"/>
  <c r="AD34" i="9"/>
  <c r="AC34" i="9"/>
  <c r="AB34" i="9"/>
  <c r="AE33" i="9"/>
  <c r="AD33" i="9"/>
  <c r="AC33" i="9"/>
  <c r="AB33" i="9"/>
  <c r="AH30" i="9"/>
  <c r="AE30" i="9"/>
  <c r="AD30" i="9"/>
  <c r="AC30" i="9"/>
  <c r="AB30" i="9"/>
  <c r="Y18" i="9"/>
  <c r="Y17" i="9"/>
  <c r="Y16" i="9"/>
  <c r="Y15" i="9"/>
  <c r="Y14" i="9"/>
  <c r="AE18" i="9"/>
  <c r="AD18" i="9"/>
  <c r="AC18" i="9"/>
  <c r="AB18" i="9"/>
  <c r="AE17" i="9"/>
  <c r="AD17" i="9"/>
  <c r="AC17" i="9"/>
  <c r="AB17" i="9"/>
  <c r="AE16" i="9"/>
  <c r="AD16" i="9"/>
  <c r="AC16" i="9"/>
  <c r="AB16" i="9"/>
  <c r="AE15" i="9"/>
  <c r="AD15" i="9"/>
  <c r="AC15" i="9"/>
  <c r="AB15" i="9"/>
  <c r="AE14" i="9"/>
  <c r="AD14" i="9"/>
  <c r="AC14" i="9"/>
  <c r="AB14" i="9"/>
  <c r="AH18" i="9"/>
  <c r="AG18" i="9"/>
  <c r="AH17" i="9"/>
  <c r="AG17" i="9"/>
  <c r="AH16" i="9"/>
  <c r="AG16" i="9"/>
  <c r="AH15" i="9"/>
  <c r="AG15" i="9"/>
  <c r="AH14" i="9"/>
  <c r="AG14" i="9"/>
  <c r="AH13" i="9"/>
  <c r="AE13" i="9"/>
  <c r="AD13" i="9"/>
  <c r="AC13" i="9"/>
  <c r="AB13" i="9"/>
  <c r="AG38" i="8"/>
  <c r="AG35" i="8"/>
  <c r="AF32" i="8"/>
  <c r="AG29" i="8"/>
  <c r="AG28" i="8"/>
  <c r="AG27" i="8"/>
  <c r="AG26" i="8"/>
  <c r="AG25" i="8"/>
  <c r="AF24" i="8"/>
  <c r="AF23" i="8"/>
  <c r="AF22" i="8"/>
  <c r="AF21" i="8"/>
  <c r="AG17" i="8"/>
  <c r="AG16" i="8"/>
  <c r="AF15" i="8"/>
  <c r="AG14" i="8"/>
  <c r="AG13" i="8"/>
  <c r="AE38" i="8"/>
  <c r="AE35" i="8"/>
  <c r="AD32" i="8"/>
  <c r="AE29" i="8"/>
  <c r="AE28" i="8"/>
  <c r="AE27" i="8"/>
  <c r="AE26" i="8"/>
  <c r="AE25" i="8"/>
  <c r="AD24" i="8"/>
  <c r="AD23" i="8"/>
  <c r="AD22" i="8"/>
  <c r="AD21" i="8"/>
  <c r="AE17" i="8"/>
  <c r="AE16" i="8"/>
  <c r="AD15" i="8"/>
  <c r="AE14" i="8"/>
  <c r="AE13" i="8"/>
  <c r="AC38" i="8"/>
  <c r="AC35" i="8"/>
  <c r="AB32" i="8"/>
  <c r="AC29" i="8"/>
  <c r="AC28" i="8"/>
  <c r="AC27" i="8"/>
  <c r="AC26" i="8"/>
  <c r="AC25" i="8"/>
  <c r="AB24" i="8"/>
  <c r="AB23" i="8"/>
  <c r="AB22" i="8"/>
  <c r="AB21" i="8"/>
  <c r="AC17" i="8"/>
  <c r="AC16" i="8"/>
  <c r="AB15" i="8"/>
  <c r="AC14" i="8"/>
  <c r="AC13" i="8"/>
  <c r="AA38" i="8"/>
  <c r="AA35" i="8"/>
  <c r="AA29" i="8"/>
  <c r="AA28" i="8"/>
  <c r="AA27" i="8"/>
  <c r="AA26" i="8"/>
  <c r="AA25" i="8"/>
  <c r="AA17" i="8"/>
  <c r="AA16" i="8"/>
  <c r="AA14" i="8"/>
  <c r="AA13" i="8"/>
  <c r="Z32" i="8"/>
  <c r="Z24" i="8"/>
  <c r="Z23" i="8"/>
  <c r="Z22" i="8"/>
  <c r="Z21" i="8"/>
  <c r="Z15" i="8"/>
  <c r="Y38" i="8"/>
  <c r="W38" i="8"/>
  <c r="U38" i="8"/>
  <c r="S38" i="8"/>
  <c r="Y35" i="8"/>
  <c r="W35" i="8"/>
  <c r="U35" i="8"/>
  <c r="S35" i="8"/>
  <c r="X32" i="8"/>
  <c r="V32" i="8"/>
  <c r="T32" i="8"/>
  <c r="R32" i="8"/>
  <c r="Y29" i="8"/>
  <c r="W29" i="8"/>
  <c r="U29" i="8"/>
  <c r="S29" i="8"/>
  <c r="Y28" i="8"/>
  <c r="W28" i="8"/>
  <c r="U28" i="8"/>
  <c r="S28" i="8"/>
  <c r="Y27" i="8"/>
  <c r="W27" i="8"/>
  <c r="U27" i="8"/>
  <c r="S27" i="8"/>
  <c r="Y26" i="8"/>
  <c r="W26" i="8"/>
  <c r="U26" i="8"/>
  <c r="S26" i="8"/>
  <c r="Y25" i="8"/>
  <c r="W25" i="8"/>
  <c r="U25" i="8"/>
  <c r="S25" i="8"/>
  <c r="X24" i="8"/>
  <c r="V24" i="8"/>
  <c r="T24" i="8"/>
  <c r="R24" i="8"/>
  <c r="X23" i="8"/>
  <c r="V23" i="8"/>
  <c r="T23" i="8"/>
  <c r="R23" i="8"/>
  <c r="X22" i="8"/>
  <c r="V22" i="8"/>
  <c r="T22" i="8"/>
  <c r="R22" i="8"/>
  <c r="X21" i="8"/>
  <c r="V21" i="8"/>
  <c r="T21" i="8"/>
  <c r="R21" i="8"/>
  <c r="Y17" i="8"/>
  <c r="Y16" i="8"/>
  <c r="X15" i="8"/>
  <c r="Y14" i="8"/>
  <c r="Y13" i="8"/>
  <c r="W17" i="8"/>
  <c r="W16" i="8"/>
  <c r="V15" i="8"/>
  <c r="W14" i="8"/>
  <c r="W13" i="8"/>
  <c r="U17" i="8"/>
  <c r="U16" i="8"/>
  <c r="T15" i="8"/>
  <c r="U14" i="8"/>
  <c r="U13" i="8"/>
  <c r="S17" i="8"/>
  <c r="S16" i="8"/>
  <c r="S14" i="8"/>
  <c r="S13" i="8"/>
  <c r="R15" i="8"/>
  <c r="AA24" i="25" l="1"/>
  <c r="AC35" i="25"/>
  <c r="AC46" i="25"/>
  <c r="AC22" i="25"/>
  <c r="O36" i="25"/>
  <c r="M37" i="25"/>
  <c r="M38" i="25" s="1"/>
  <c r="M39" i="25" s="1"/>
  <c r="M40" i="25" s="1"/>
  <c r="M41" i="25" s="1"/>
  <c r="M42" i="25" s="1"/>
  <c r="M43" i="25" s="1"/>
  <c r="M44" i="25" s="1"/>
  <c r="M45" i="25" s="1"/>
  <c r="M46" i="25" s="1"/>
  <c r="AA23" i="25"/>
  <c r="AA12" i="25"/>
  <c r="AC23" i="25"/>
  <c r="Z51" i="25"/>
  <c r="Z52" i="25"/>
  <c r="AC34" i="25"/>
  <c r="K26" i="25"/>
  <c r="L25" i="25"/>
  <c r="L26" i="25" s="1"/>
  <c r="L27" i="25" s="1"/>
  <c r="L28" i="25" s="1"/>
  <c r="L29" i="25" s="1"/>
  <c r="L30" i="25" s="1"/>
  <c r="L31" i="25" s="1"/>
  <c r="L32" i="25" s="1"/>
  <c r="L33" i="25" s="1"/>
  <c r="L34" i="25" s="1"/>
  <c r="O24" i="25"/>
  <c r="K39" i="25"/>
  <c r="O38" i="25"/>
  <c r="Y14" i="25"/>
  <c r="AA13" i="25"/>
  <c r="Y25" i="25"/>
  <c r="Z50" i="25"/>
  <c r="AA11" i="25"/>
  <c r="N18" i="22"/>
  <c r="N19" i="22"/>
  <c r="N20" i="22"/>
  <c r="N21" i="22"/>
  <c r="N23" i="22"/>
  <c r="N24" i="22"/>
  <c r="N10" i="22"/>
  <c r="J21" i="22"/>
  <c r="K21" i="22"/>
  <c r="L21" i="22"/>
  <c r="M21" i="22"/>
  <c r="O21" i="22"/>
  <c r="P21" i="22"/>
  <c r="Q21" i="22"/>
  <c r="J20" i="22"/>
  <c r="K20" i="22"/>
  <c r="L20" i="22"/>
  <c r="M20" i="22"/>
  <c r="O20" i="22"/>
  <c r="P20" i="22"/>
  <c r="Q20" i="22"/>
  <c r="J19" i="22"/>
  <c r="K19" i="22"/>
  <c r="L19" i="22"/>
  <c r="M19" i="22"/>
  <c r="O19" i="22"/>
  <c r="P19" i="22"/>
  <c r="Q19" i="22"/>
  <c r="C22" i="22"/>
  <c r="D22" i="22"/>
  <c r="E22" i="22"/>
  <c r="F22" i="22"/>
  <c r="J22" i="22" s="1"/>
  <c r="G22" i="22"/>
  <c r="K22" i="22" s="1"/>
  <c r="H22" i="22"/>
  <c r="I22" i="22"/>
  <c r="M24" i="13" a="1"/>
  <c r="M24" i="13" s="1"/>
  <c r="B5" i="24"/>
  <c r="B4" i="24"/>
  <c r="B3" i="24"/>
  <c r="M12" i="23"/>
  <c r="K12" i="23"/>
  <c r="I12" i="23"/>
  <c r="M11" i="23"/>
  <c r="K11" i="23"/>
  <c r="I11" i="23"/>
  <c r="M10" i="23"/>
  <c r="K10" i="23"/>
  <c r="I10" i="23"/>
  <c r="B5" i="23"/>
  <c r="B4" i="23"/>
  <c r="B3" i="23"/>
  <c r="Q24" i="22"/>
  <c r="P24" i="22"/>
  <c r="O24" i="22"/>
  <c r="M24" i="22"/>
  <c r="L24" i="22"/>
  <c r="K24" i="22"/>
  <c r="J24" i="22"/>
  <c r="Q23" i="22"/>
  <c r="P23" i="22"/>
  <c r="O23" i="22"/>
  <c r="M23" i="22"/>
  <c r="L23" i="22"/>
  <c r="K23" i="22"/>
  <c r="J23" i="22"/>
  <c r="Q18" i="22"/>
  <c r="P18" i="22"/>
  <c r="O18" i="22"/>
  <c r="M18" i="22"/>
  <c r="L18" i="22"/>
  <c r="K18" i="22"/>
  <c r="J18" i="22"/>
  <c r="Q10" i="22"/>
  <c r="P10" i="22"/>
  <c r="O10" i="22"/>
  <c r="M10" i="22"/>
  <c r="L10" i="22"/>
  <c r="K10" i="22"/>
  <c r="J10" i="22"/>
  <c r="I9" i="22"/>
  <c r="H9" i="22" s="1"/>
  <c r="M9" i="22" s="1"/>
  <c r="B5" i="22"/>
  <c r="B4" i="22"/>
  <c r="B3" i="22"/>
  <c r="O25" i="25" l="1"/>
  <c r="O37" i="25"/>
  <c r="Y15" i="25"/>
  <c r="AA14" i="25"/>
  <c r="Y26" i="25"/>
  <c r="AA25" i="25"/>
  <c r="K27" i="25"/>
  <c r="O26" i="25"/>
  <c r="O39" i="25"/>
  <c r="K40" i="25"/>
  <c r="L22" i="22"/>
  <c r="M22" i="22"/>
  <c r="N22" i="22"/>
  <c r="Q22" i="22"/>
  <c r="P22" i="22"/>
  <c r="O22" i="22"/>
  <c r="G9" i="22"/>
  <c r="K28" i="25" l="1"/>
  <c r="O27" i="25"/>
  <c r="O40" i="25"/>
  <c r="K41" i="25"/>
  <c r="Y16" i="25"/>
  <c r="AA15" i="25"/>
  <c r="Y27" i="25"/>
  <c r="AA26" i="25"/>
  <c r="L9" i="22"/>
  <c r="F9" i="22"/>
  <c r="Y17" i="25" l="1"/>
  <c r="AA16" i="25"/>
  <c r="K29" i="25"/>
  <c r="O28" i="25"/>
  <c r="K42" i="25"/>
  <c r="O41" i="25"/>
  <c r="AA27" i="25"/>
  <c r="Y28" i="25"/>
  <c r="K9" i="22"/>
  <c r="E9" i="22"/>
  <c r="J9" i="22" s="1"/>
  <c r="O29" i="25" l="1"/>
  <c r="K30" i="25"/>
  <c r="K43" i="25"/>
  <c r="O42" i="25"/>
  <c r="Y29" i="25"/>
  <c r="AA28" i="25"/>
  <c r="AA17" i="25"/>
  <c r="Y18" i="25"/>
  <c r="H40" i="7"/>
  <c r="M44" i="7"/>
  <c r="J44" i="7"/>
  <c r="M43" i="7"/>
  <c r="J43" i="7"/>
  <c r="B45" i="7"/>
  <c r="C43" i="7" s="1"/>
  <c r="D44" i="7"/>
  <c r="F44" i="7" s="1"/>
  <c r="D43" i="7"/>
  <c r="F43" i="7" s="1"/>
  <c r="H30" i="7"/>
  <c r="H20" i="7"/>
  <c r="A37" i="13"/>
  <c r="H14" i="16"/>
  <c r="I14" i="16"/>
  <c r="H15" i="16"/>
  <c r="I15" i="16"/>
  <c r="L23" i="15"/>
  <c r="L24" i="15" s="1"/>
  <c r="L25" i="15" s="1"/>
  <c r="L26" i="15" s="1"/>
  <c r="L27" i="15" s="1"/>
  <c r="L28" i="15" s="1"/>
  <c r="L29" i="15" s="1"/>
  <c r="L30" i="15" s="1"/>
  <c r="L31" i="15" s="1"/>
  <c r="L32" i="15" s="1"/>
  <c r="L33" i="15" s="1"/>
  <c r="M23" i="15"/>
  <c r="M24" i="15" s="1"/>
  <c r="M25" i="15" s="1"/>
  <c r="M26" i="15" s="1"/>
  <c r="M27" i="15" s="1"/>
  <c r="M28" i="15" s="1"/>
  <c r="M29" i="15" s="1"/>
  <c r="M30" i="15" s="1"/>
  <c r="M31" i="15" s="1"/>
  <c r="M32" i="15" s="1"/>
  <c r="M33" i="15" s="1"/>
  <c r="N23" i="15"/>
  <c r="N24" i="15" s="1"/>
  <c r="N25" i="15" s="1"/>
  <c r="N26" i="15" s="1"/>
  <c r="N27" i="15" s="1"/>
  <c r="N28" i="15" s="1"/>
  <c r="N29" i="15" s="1"/>
  <c r="N30" i="15" s="1"/>
  <c r="N31" i="15" s="1"/>
  <c r="N32" i="15" s="1"/>
  <c r="N33" i="15" s="1"/>
  <c r="L35" i="15"/>
  <c r="L36" i="15" s="1"/>
  <c r="L37" i="15" s="1"/>
  <c r="L38" i="15" s="1"/>
  <c r="L39" i="15" s="1"/>
  <c r="L40" i="15" s="1"/>
  <c r="L41" i="15" s="1"/>
  <c r="L42" i="15" s="1"/>
  <c r="L43" i="15" s="1"/>
  <c r="L44" i="15" s="1"/>
  <c r="L45" i="15" s="1"/>
  <c r="M35" i="15"/>
  <c r="M36" i="15" s="1"/>
  <c r="M37" i="15" s="1"/>
  <c r="M38" i="15" s="1"/>
  <c r="M39" i="15" s="1"/>
  <c r="M40" i="15" s="1"/>
  <c r="M41" i="15" s="1"/>
  <c r="M42" i="15" s="1"/>
  <c r="M43" i="15" s="1"/>
  <c r="M44" i="15" s="1"/>
  <c r="M45" i="15" s="1"/>
  <c r="N35" i="15"/>
  <c r="N36" i="15" s="1"/>
  <c r="N37" i="15" s="1"/>
  <c r="N38" i="15" s="1"/>
  <c r="N39" i="15" s="1"/>
  <c r="N40" i="15" s="1"/>
  <c r="N41" i="15" s="1"/>
  <c r="N42" i="15" s="1"/>
  <c r="N43" i="15" s="1"/>
  <c r="N44" i="15" s="1"/>
  <c r="N45" i="15" s="1"/>
  <c r="K35" i="15"/>
  <c r="K36" i="15" s="1"/>
  <c r="K37" i="15" s="1"/>
  <c r="K38" i="15" s="1"/>
  <c r="K39" i="15" s="1"/>
  <c r="K40" i="15" s="1"/>
  <c r="K41" i="15" s="1"/>
  <c r="K42" i="15" s="1"/>
  <c r="K43" i="15" s="1"/>
  <c r="K44" i="15" s="1"/>
  <c r="K45" i="15" s="1"/>
  <c r="K23" i="15"/>
  <c r="K24" i="15" s="1"/>
  <c r="K25" i="15" s="1"/>
  <c r="K26" i="15" s="1"/>
  <c r="K27" i="15" s="1"/>
  <c r="K28" i="15" s="1"/>
  <c r="K29" i="15" s="1"/>
  <c r="K30" i="15" s="1"/>
  <c r="K31" i="15" s="1"/>
  <c r="K32" i="15" s="1"/>
  <c r="K33" i="15" s="1"/>
  <c r="B9" i="10"/>
  <c r="N9" i="9"/>
  <c r="O43" i="25" l="1"/>
  <c r="K44" i="25"/>
  <c r="AA29" i="25"/>
  <c r="Y30" i="25"/>
  <c r="Y19" i="25"/>
  <c r="AA18" i="25"/>
  <c r="O30" i="25"/>
  <c r="K31" i="25"/>
  <c r="F45" i="7"/>
  <c r="C44" i="7"/>
  <c r="E45" i="7" s="1"/>
  <c r="I19" i="16"/>
  <c r="I18" i="16"/>
  <c r="I17" i="16"/>
  <c r="I16" i="16"/>
  <c r="H19" i="16"/>
  <c r="H18" i="16"/>
  <c r="H17" i="16"/>
  <c r="H16" i="16"/>
  <c r="C11" i="16"/>
  <c r="I11" i="16"/>
  <c r="H11" i="16"/>
  <c r="G11" i="16"/>
  <c r="F11" i="16"/>
  <c r="E11" i="16"/>
  <c r="D11" i="16"/>
  <c r="B11" i="16"/>
  <c r="B5" i="16"/>
  <c r="B4" i="16"/>
  <c r="B3" i="16"/>
  <c r="B3" i="10"/>
  <c r="B4" i="10"/>
  <c r="B5" i="10"/>
  <c r="B4" i="9"/>
  <c r="B5" i="9"/>
  <c r="B3" i="9"/>
  <c r="B3" i="8"/>
  <c r="B4" i="8"/>
  <c r="B5" i="8"/>
  <c r="Y31" i="25" l="1"/>
  <c r="AA30" i="25"/>
  <c r="Y20" i="25"/>
  <c r="AA19" i="25"/>
  <c r="O44" i="25"/>
  <c r="K45" i="25"/>
  <c r="K32" i="25"/>
  <c r="O31" i="25"/>
  <c r="D45" i="7"/>
  <c r="C45" i="7"/>
  <c r="H12" i="16"/>
  <c r="O12" i="15"/>
  <c r="O14" i="15"/>
  <c r="O16" i="15"/>
  <c r="O20" i="15"/>
  <c r="O22" i="15"/>
  <c r="O24" i="15"/>
  <c r="O26" i="15"/>
  <c r="O28" i="15"/>
  <c r="O30" i="15"/>
  <c r="O32" i="15"/>
  <c r="O34" i="15"/>
  <c r="O36" i="15"/>
  <c r="O38" i="15"/>
  <c r="O40" i="15"/>
  <c r="O42" i="15"/>
  <c r="O44" i="15"/>
  <c r="O10" i="15"/>
  <c r="O18" i="15"/>
  <c r="O11" i="15"/>
  <c r="O13" i="15"/>
  <c r="O15" i="15"/>
  <c r="O17" i="15"/>
  <c r="O19" i="15"/>
  <c r="O21" i="15"/>
  <c r="O23" i="15"/>
  <c r="O25" i="15"/>
  <c r="O27" i="15"/>
  <c r="O29" i="15"/>
  <c r="O31" i="15"/>
  <c r="O33" i="15"/>
  <c r="O35" i="15"/>
  <c r="O37" i="15"/>
  <c r="O39" i="15"/>
  <c r="O41" i="15"/>
  <c r="O43" i="15"/>
  <c r="O45" i="15"/>
  <c r="I12" i="16"/>
  <c r="K46" i="25" l="1"/>
  <c r="O46" i="25" s="1"/>
  <c r="O45" i="25"/>
  <c r="Y21" i="25"/>
  <c r="AA20" i="25"/>
  <c r="AA31" i="25"/>
  <c r="Y32" i="25"/>
  <c r="O32" i="25"/>
  <c r="K33" i="25"/>
  <c r="Y33" i="25" l="1"/>
  <c r="AA32" i="25"/>
  <c r="Y22" i="25"/>
  <c r="AA21" i="25"/>
  <c r="K34" i="25"/>
  <c r="O34" i="25" s="1"/>
  <c r="O33" i="25"/>
  <c r="AA22" i="25" l="1"/>
  <c r="Y50" i="25"/>
  <c r="AB22" i="25"/>
  <c r="AB23" i="25"/>
  <c r="Y34" i="25"/>
  <c r="AA33" i="25"/>
  <c r="AD23" i="25" l="1"/>
  <c r="AD22" i="25"/>
  <c r="AA50" i="25"/>
  <c r="AA34" i="25"/>
  <c r="Y35" i="25"/>
  <c r="AB34" i="25"/>
  <c r="Y51" i="25"/>
  <c r="AA51" i="25" l="1"/>
  <c r="AD34" i="25"/>
  <c r="AA35" i="25"/>
  <c r="Y36" i="25"/>
  <c r="AB35" i="25"/>
  <c r="AA36" i="25" l="1"/>
  <c r="Y37" i="25"/>
  <c r="AD35" i="25"/>
  <c r="Y38" i="25" l="1"/>
  <c r="AA37" i="25"/>
  <c r="Y39" i="25" l="1"/>
  <c r="AA38" i="25"/>
  <c r="AA39" i="25" l="1"/>
  <c r="Y40" i="25"/>
  <c r="AA40" i="25" l="1"/>
  <c r="Y41" i="25"/>
  <c r="Y42" i="25" l="1"/>
  <c r="AA41" i="25"/>
  <c r="Y43" i="25" l="1"/>
  <c r="AA42" i="25"/>
  <c r="AA43" i="25" l="1"/>
  <c r="Y44" i="25"/>
  <c r="AA44" i="25" l="1"/>
  <c r="Y45" i="25"/>
  <c r="Y46" i="25" l="1"/>
  <c r="AA45" i="25"/>
  <c r="AA46" i="25" l="1"/>
  <c r="Y52" i="25" a="1"/>
  <c r="Y52" i="25" s="1"/>
  <c r="AB46" i="25"/>
  <c r="AA52" i="25" l="1" a="1"/>
  <c r="AA52" i="25" s="1"/>
  <c r="AD46" i="25"/>
  <c r="J30" i="11" l="1"/>
  <c r="K30" i="11"/>
  <c r="L30" i="11"/>
  <c r="M30" i="11"/>
  <c r="N30" i="11"/>
  <c r="O30" i="11"/>
  <c r="P30" i="11"/>
  <c r="Q30" i="11"/>
  <c r="C30" i="11"/>
  <c r="D30" i="11"/>
  <c r="F30" i="11"/>
  <c r="G30" i="11"/>
  <c r="C21" i="10"/>
  <c r="W26" i="9"/>
  <c r="V26" i="9"/>
  <c r="T26" i="9"/>
  <c r="S26" i="9"/>
  <c r="R26" i="9"/>
  <c r="AC26" i="9" s="1"/>
  <c r="Q26" i="9"/>
  <c r="AB26" i="9" s="1"/>
  <c r="N26" i="9"/>
  <c r="K26" i="9"/>
  <c r="AH58" i="9" s="1"/>
  <c r="J26" i="9"/>
  <c r="AG58" i="9" s="1"/>
  <c r="H26" i="9"/>
  <c r="AE58" i="9" s="1"/>
  <c r="G26" i="9"/>
  <c r="AD58" i="9" s="1"/>
  <c r="F26" i="9"/>
  <c r="AC58" i="9" s="1"/>
  <c r="E26" i="9"/>
  <c r="AB58" i="9" s="1"/>
  <c r="B26" i="9"/>
  <c r="Y58" i="9" s="1"/>
  <c r="W24" i="9"/>
  <c r="V24" i="9"/>
  <c r="T24" i="9"/>
  <c r="AE24" i="9" s="1"/>
  <c r="S24" i="9"/>
  <c r="R24" i="9"/>
  <c r="Q24" i="9"/>
  <c r="AB24" i="9" s="1"/>
  <c r="N24" i="9"/>
  <c r="K24" i="9"/>
  <c r="AH56" i="9" s="1"/>
  <c r="J24" i="9"/>
  <c r="AG56" i="9" s="1"/>
  <c r="H24" i="9"/>
  <c r="AE56" i="9" s="1"/>
  <c r="G24" i="9"/>
  <c r="AD56" i="9" s="1"/>
  <c r="F24" i="9"/>
  <c r="AC56" i="9" s="1"/>
  <c r="E24" i="9"/>
  <c r="AB56" i="9" s="1"/>
  <c r="B24" i="9"/>
  <c r="Y56" i="9" s="1"/>
  <c r="P35" i="8"/>
  <c r="P29" i="8"/>
  <c r="P28" i="8"/>
  <c r="P27" i="8"/>
  <c r="P26" i="8"/>
  <c r="P25" i="8"/>
  <c r="P17" i="8"/>
  <c r="P16" i="8"/>
  <c r="P14" i="8"/>
  <c r="P13" i="8"/>
  <c r="N14" i="8"/>
  <c r="N13" i="8"/>
  <c r="N17" i="8"/>
  <c r="N16" i="8"/>
  <c r="N29" i="8"/>
  <c r="N28" i="8"/>
  <c r="V28" i="8" s="1"/>
  <c r="N27" i="8"/>
  <c r="V27" i="8" s="1"/>
  <c r="N26" i="8"/>
  <c r="V26" i="8" s="1"/>
  <c r="N25" i="8"/>
  <c r="V25" i="8" s="1"/>
  <c r="N35" i="8"/>
  <c r="V35" i="8" s="1"/>
  <c r="L35" i="8"/>
  <c r="L29" i="8"/>
  <c r="L28" i="8"/>
  <c r="L27" i="8"/>
  <c r="L26" i="8"/>
  <c r="L25" i="8"/>
  <c r="L17" i="8"/>
  <c r="L16" i="8"/>
  <c r="L14" i="8"/>
  <c r="L13" i="8"/>
  <c r="J14" i="8"/>
  <c r="J13" i="8"/>
  <c r="J17" i="8"/>
  <c r="J16" i="8"/>
  <c r="J29" i="8"/>
  <c r="J28" i="8"/>
  <c r="J27" i="8"/>
  <c r="J26" i="8"/>
  <c r="J25" i="8"/>
  <c r="J35" i="8"/>
  <c r="H35" i="8"/>
  <c r="AB35" i="8" s="1"/>
  <c r="H29" i="8"/>
  <c r="AB29" i="8" s="1"/>
  <c r="H28" i="8"/>
  <c r="AB28" i="8" s="1"/>
  <c r="H27" i="8"/>
  <c r="AB27" i="8" s="1"/>
  <c r="H26" i="8"/>
  <c r="H25" i="8"/>
  <c r="H17" i="8"/>
  <c r="H16" i="8"/>
  <c r="H14" i="8"/>
  <c r="H13" i="8"/>
  <c r="F14" i="8"/>
  <c r="F13" i="8"/>
  <c r="F16" i="8"/>
  <c r="D16" i="8"/>
  <c r="B16" i="8"/>
  <c r="F17" i="8"/>
  <c r="F29" i="8"/>
  <c r="F28" i="8"/>
  <c r="F27" i="8"/>
  <c r="F26" i="8"/>
  <c r="F25" i="8"/>
  <c r="F35" i="8"/>
  <c r="D35" i="8"/>
  <c r="D29" i="8"/>
  <c r="D28" i="8"/>
  <c r="D27" i="8"/>
  <c r="D26" i="8"/>
  <c r="D25" i="8"/>
  <c r="D17" i="8"/>
  <c r="D14" i="8"/>
  <c r="D13" i="8"/>
  <c r="B35" i="8"/>
  <c r="B29" i="8"/>
  <c r="B28" i="8"/>
  <c r="B27" i="8"/>
  <c r="B26" i="8"/>
  <c r="B25" i="8"/>
  <c r="B17" i="8"/>
  <c r="B14" i="8"/>
  <c r="B13" i="8"/>
  <c r="P10" i="8"/>
  <c r="N10" i="8" s="1"/>
  <c r="V29" i="8" l="1"/>
  <c r="AC24" i="9"/>
  <c r="Y26" i="9"/>
  <c r="AD24" i="9"/>
  <c r="Y24" i="9"/>
  <c r="AE26" i="9"/>
  <c r="AH24" i="9"/>
  <c r="T13" i="8"/>
  <c r="AF13" i="8"/>
  <c r="Z25" i="8"/>
  <c r="X25" i="8"/>
  <c r="T14" i="8"/>
  <c r="AF14" i="8"/>
  <c r="T25" i="8"/>
  <c r="AF25" i="8"/>
  <c r="V16" i="8"/>
  <c r="Z29" i="8"/>
  <c r="X29" i="8"/>
  <c r="T16" i="8"/>
  <c r="AF16" i="8"/>
  <c r="T17" i="8"/>
  <c r="AF17" i="8"/>
  <c r="R26" i="8"/>
  <c r="AD26" i="8"/>
  <c r="AB14" i="8"/>
  <c r="R27" i="8"/>
  <c r="AD27" i="8"/>
  <c r="AF26" i="8"/>
  <c r="T26" i="8"/>
  <c r="V17" i="8"/>
  <c r="X35" i="8"/>
  <c r="Z35" i="8"/>
  <c r="R14" i="8"/>
  <c r="AD14" i="8"/>
  <c r="AB16" i="8"/>
  <c r="AD28" i="8"/>
  <c r="R28" i="8"/>
  <c r="AF27" i="8"/>
  <c r="T27" i="8"/>
  <c r="V13" i="8"/>
  <c r="R25" i="8"/>
  <c r="AD25" i="8"/>
  <c r="AB17" i="8"/>
  <c r="AD29" i="8"/>
  <c r="R29" i="8"/>
  <c r="AF28" i="8"/>
  <c r="T28" i="8"/>
  <c r="V14" i="8"/>
  <c r="Z17" i="8"/>
  <c r="X17" i="8"/>
  <c r="X26" i="8"/>
  <c r="Z26" i="8"/>
  <c r="Z27" i="8"/>
  <c r="X27" i="8"/>
  <c r="Z28" i="8"/>
  <c r="X28" i="8"/>
  <c r="AB13" i="8"/>
  <c r="AB25" i="8"/>
  <c r="AD16" i="8"/>
  <c r="R16" i="8"/>
  <c r="AF29" i="8"/>
  <c r="T29" i="8"/>
  <c r="X13" i="8"/>
  <c r="Z13" i="8"/>
  <c r="R35" i="8"/>
  <c r="AD35" i="8"/>
  <c r="AB26" i="8"/>
  <c r="R17" i="8"/>
  <c r="AD17" i="8"/>
  <c r="AF35" i="8"/>
  <c r="T35" i="8"/>
  <c r="Z14" i="8"/>
  <c r="X14" i="8"/>
  <c r="R13" i="8"/>
  <c r="AD13" i="8"/>
  <c r="Z16" i="8"/>
  <c r="X16" i="8"/>
  <c r="AG24" i="9"/>
  <c r="AD26" i="9"/>
  <c r="AG26" i="9"/>
  <c r="AH26" i="9"/>
  <c r="L10" i="8"/>
  <c r="X10" i="8"/>
  <c r="F25" i="9"/>
  <c r="AC57" i="9" s="1"/>
  <c r="G27" i="9"/>
  <c r="AD59" i="9" s="1"/>
  <c r="H27" i="9"/>
  <c r="AE59" i="9" s="1"/>
  <c r="H25" i="9"/>
  <c r="AE57" i="9" s="1"/>
  <c r="K25" i="9"/>
  <c r="AH57" i="9" s="1"/>
  <c r="K27" i="9"/>
  <c r="AH59" i="9" s="1"/>
  <c r="G25" i="9"/>
  <c r="AD57" i="9" s="1"/>
  <c r="E27" i="9"/>
  <c r="AB59" i="9" s="1"/>
  <c r="W27" i="9"/>
  <c r="E25" i="9"/>
  <c r="AB57" i="9" s="1"/>
  <c r="F27" i="9"/>
  <c r="AC59" i="9" s="1"/>
  <c r="W25" i="9"/>
  <c r="T27" i="9"/>
  <c r="Q25" i="9"/>
  <c r="R25" i="9"/>
  <c r="S25" i="9"/>
  <c r="T25" i="9"/>
  <c r="Q27" i="9"/>
  <c r="R27" i="9"/>
  <c r="S27" i="9"/>
  <c r="AD25" i="9" l="1"/>
  <c r="AC25" i="9"/>
  <c r="AB25" i="9"/>
  <c r="AE25" i="9"/>
  <c r="F28" i="9"/>
  <c r="F29" i="9" s="1"/>
  <c r="AB27" i="9"/>
  <c r="AH25" i="9"/>
  <c r="H28" i="9"/>
  <c r="H31" i="9" s="1"/>
  <c r="AE27" i="9"/>
  <c r="AH27" i="9"/>
  <c r="AD27" i="9"/>
  <c r="AC27" i="9"/>
  <c r="J10" i="8"/>
  <c r="V10" i="8"/>
  <c r="G28" i="9"/>
  <c r="G31" i="9" s="1"/>
  <c r="K28" i="9"/>
  <c r="K31" i="9" s="1"/>
  <c r="E28" i="9"/>
  <c r="F31" i="9" l="1"/>
  <c r="H29" i="9"/>
  <c r="H10" i="8"/>
  <c r="R10" i="8" s="1"/>
  <c r="T10" i="8"/>
  <c r="K29" i="9"/>
  <c r="G29" i="9"/>
  <c r="E31" i="9"/>
  <c r="E29" i="9"/>
  <c r="D15" i="7" l="1"/>
  <c r="D14" i="7"/>
  <c r="D24" i="7"/>
  <c r="D23" i="7"/>
  <c r="D34" i="7"/>
  <c r="K44" i="7" s="1"/>
  <c r="D33" i="7"/>
  <c r="K43" i="7" s="1"/>
  <c r="S22" i="11"/>
  <c r="R22" i="11" s="1"/>
  <c r="S21" i="11"/>
  <c r="R21" i="11" s="1"/>
  <c r="S20" i="11"/>
  <c r="R20" i="11" s="1"/>
  <c r="S19" i="11"/>
  <c r="R19" i="11" s="1"/>
  <c r="S18" i="11"/>
  <c r="R18" i="11" s="1"/>
  <c r="S17" i="11"/>
  <c r="R17" i="11" s="1"/>
  <c r="S16" i="11"/>
  <c r="R16" i="11" s="1"/>
  <c r="S15" i="11"/>
  <c r="R15" i="11" s="1"/>
  <c r="S14" i="11"/>
  <c r="R14" i="11" s="1"/>
  <c r="S13" i="11"/>
  <c r="S12" i="11"/>
  <c r="R12" i="11" s="1"/>
  <c r="S11" i="11"/>
  <c r="R11" i="11" s="1"/>
  <c r="K29" i="11"/>
  <c r="N29" i="11"/>
  <c r="R13" i="11" l="1"/>
  <c r="R30" i="11" s="1"/>
  <c r="S30" i="11"/>
  <c r="C6" i="4" l="1"/>
  <c r="B7" i="29" l="1"/>
  <c r="B7" i="30"/>
  <c r="B7" i="28"/>
  <c r="J9" i="11"/>
  <c r="C7" i="25"/>
  <c r="J26" i="11"/>
  <c r="A26" i="11"/>
  <c r="A9" i="11"/>
  <c r="C6" i="15"/>
  <c r="C7" i="27"/>
  <c r="A20" i="27"/>
  <c r="A29" i="27"/>
  <c r="A11" i="27"/>
  <c r="G38" i="27"/>
  <c r="M54" i="9"/>
  <c r="M53" i="9"/>
  <c r="N41" i="9"/>
  <c r="A46" i="25"/>
  <c r="A45" i="25" s="1"/>
  <c r="B6" i="26"/>
  <c r="B6" i="22"/>
  <c r="B6" i="23"/>
  <c r="B6" i="24"/>
  <c r="D9" i="22"/>
  <c r="B9" i="9"/>
  <c r="A45" i="15"/>
  <c r="A44" i="15" s="1"/>
  <c r="A43" i="15" s="1"/>
  <c r="A42" i="15" s="1"/>
  <c r="A41" i="15" s="1"/>
  <c r="A40" i="15" s="1"/>
  <c r="A39" i="15" s="1"/>
  <c r="A38" i="15" s="1"/>
  <c r="A37" i="15" s="1"/>
  <c r="A36" i="15" s="1"/>
  <c r="A35" i="15" s="1"/>
  <c r="A34" i="15" s="1"/>
  <c r="A33" i="15" s="1"/>
  <c r="A32" i="15" s="1"/>
  <c r="A31" i="15" s="1"/>
  <c r="A30" i="15" s="1"/>
  <c r="A29" i="15" s="1"/>
  <c r="A28" i="15" s="1"/>
  <c r="A27" i="15" s="1"/>
  <c r="A26" i="15" s="1"/>
  <c r="A25" i="15" s="1"/>
  <c r="A24" i="15" s="1"/>
  <c r="A23" i="15" s="1"/>
  <c r="A22" i="15" s="1"/>
  <c r="A21" i="15" s="1"/>
  <c r="A20" i="15" s="1"/>
  <c r="A19" i="15" s="1"/>
  <c r="A18" i="15" s="1"/>
  <c r="A17" i="15" s="1"/>
  <c r="A16" i="15" s="1"/>
  <c r="A15" i="15" s="1"/>
  <c r="A14" i="15" s="1"/>
  <c r="A13" i="15" s="1"/>
  <c r="A12" i="15" s="1"/>
  <c r="A11" i="15" s="1"/>
  <c r="A10" i="15" s="1"/>
  <c r="G37" i="13"/>
  <c r="A28" i="13"/>
  <c r="A19" i="13"/>
  <c r="A10" i="13"/>
  <c r="B10" i="16"/>
  <c r="H10" i="16" s="1"/>
  <c r="C10" i="16"/>
  <c r="I10" i="16" s="1"/>
  <c r="G10" i="16"/>
  <c r="F10" i="16"/>
  <c r="E10" i="16"/>
  <c r="D10" i="16"/>
  <c r="B6" i="16"/>
  <c r="B6" i="10"/>
  <c r="E6" i="11"/>
  <c r="B6" i="9"/>
  <c r="B6" i="8"/>
  <c r="A11" i="11"/>
  <c r="A28" i="11" s="1"/>
  <c r="F10" i="8"/>
  <c r="A40" i="11"/>
  <c r="A23" i="11"/>
  <c r="G11" i="4"/>
  <c r="J11" i="4"/>
  <c r="C4" i="13"/>
  <c r="C5" i="13"/>
  <c r="C3" i="13"/>
  <c r="G20" i="27" l="1"/>
  <c r="G29" i="27"/>
  <c r="Y9" i="9"/>
  <c r="Y41" i="9"/>
  <c r="G28" i="13"/>
  <c r="A44" i="25"/>
  <c r="G19" i="13"/>
  <c r="N8" i="22"/>
  <c r="Q9" i="22"/>
  <c r="C9" i="22"/>
  <c r="D10" i="8"/>
  <c r="AF10" i="8"/>
  <c r="Z9" i="8"/>
  <c r="B50" i="15" a="1"/>
  <c r="B50" i="15" s="1"/>
  <c r="B51" i="15" a="1"/>
  <c r="B51" i="15" s="1"/>
  <c r="F51" i="15" a="1"/>
  <c r="F51" i="15" s="1"/>
  <c r="B49" i="15" a="1"/>
  <c r="B49" i="15" s="1"/>
  <c r="F49" i="15" a="1"/>
  <c r="F49" i="15" s="1"/>
  <c r="F50" i="15" a="1"/>
  <c r="F50" i="15" s="1"/>
  <c r="G50" i="15" a="1"/>
  <c r="G50" i="15" s="1"/>
  <c r="G49" i="15" a="1"/>
  <c r="G49" i="15" s="1"/>
  <c r="G51" i="15" a="1"/>
  <c r="G51" i="15" s="1"/>
  <c r="P17" i="15" a="1"/>
  <c r="P17" i="15" s="1"/>
  <c r="E17" i="15" s="1"/>
  <c r="I17" i="15" s="1"/>
  <c r="J17" i="15" s="1"/>
  <c r="P30" i="15" a="1"/>
  <c r="P30" i="15" s="1"/>
  <c r="E30" i="15" s="1"/>
  <c r="I30" i="15" s="1"/>
  <c r="J30" i="15" s="1"/>
  <c r="P26" i="15" a="1"/>
  <c r="P26" i="15" s="1"/>
  <c r="E26" i="15" s="1"/>
  <c r="I26" i="15" s="1"/>
  <c r="J26" i="15" s="1"/>
  <c r="P32" i="15" a="1"/>
  <c r="P32" i="15" s="1"/>
  <c r="E32" i="15" s="1"/>
  <c r="I32" i="15" s="1"/>
  <c r="J32" i="15" s="1"/>
  <c r="P27" i="15" a="1"/>
  <c r="P27" i="15" s="1"/>
  <c r="E27" i="15" s="1"/>
  <c r="I27" i="15" s="1"/>
  <c r="J27" i="15" s="1"/>
  <c r="P18" i="15" a="1"/>
  <c r="P18" i="15" s="1"/>
  <c r="E18" i="15" s="1"/>
  <c r="I18" i="15" s="1"/>
  <c r="J18" i="15" s="1"/>
  <c r="P29" i="15" a="1"/>
  <c r="P29" i="15" s="1"/>
  <c r="E29" i="15" s="1"/>
  <c r="I29" i="15" s="1"/>
  <c r="J29" i="15" s="1"/>
  <c r="P42" i="15" a="1"/>
  <c r="P42" i="15" s="1"/>
  <c r="E42" i="15" s="1"/>
  <c r="I42" i="15" s="1"/>
  <c r="J42" i="15" s="1"/>
  <c r="P40" i="15" a="1"/>
  <c r="P40" i="15" s="1"/>
  <c r="E40" i="15" s="1"/>
  <c r="I40" i="15" s="1"/>
  <c r="J40" i="15" s="1"/>
  <c r="P44" i="15" a="1"/>
  <c r="P44" i="15" s="1"/>
  <c r="E44" i="15" s="1"/>
  <c r="I44" i="15" s="1"/>
  <c r="J44" i="15" s="1"/>
  <c r="P41" i="15" a="1"/>
  <c r="P41" i="15" s="1"/>
  <c r="E41" i="15" s="1"/>
  <c r="I41" i="15" s="1"/>
  <c r="J41" i="15" s="1"/>
  <c r="P39" i="15" a="1"/>
  <c r="P39" i="15" s="1"/>
  <c r="E39" i="15" s="1"/>
  <c r="I39" i="15" s="1"/>
  <c r="J39" i="15" s="1"/>
  <c r="P38" i="15" a="1"/>
  <c r="P38" i="15" s="1"/>
  <c r="E38" i="15" s="1"/>
  <c r="I38" i="15" s="1"/>
  <c r="J38" i="15" s="1"/>
  <c r="P21" i="15" a="1"/>
  <c r="P21" i="15" s="1"/>
  <c r="E21" i="15" s="1"/>
  <c r="I21" i="15" s="1"/>
  <c r="J21" i="15" s="1"/>
  <c r="P16" i="15" a="1"/>
  <c r="P16" i="15" s="1"/>
  <c r="E16" i="15" s="1"/>
  <c r="I16" i="15" s="1"/>
  <c r="J16" i="15" s="1"/>
  <c r="P11" i="15" a="1"/>
  <c r="P11" i="15" s="1"/>
  <c r="E11" i="15" s="1"/>
  <c r="I11" i="15" s="1"/>
  <c r="J11" i="15" s="1"/>
  <c r="P19" i="15" a="1"/>
  <c r="P19" i="15" s="1"/>
  <c r="E19" i="15" s="1"/>
  <c r="I19" i="15" s="1"/>
  <c r="J19" i="15" s="1"/>
  <c r="P24" i="15" a="1"/>
  <c r="P24" i="15" s="1"/>
  <c r="E24" i="15" s="1"/>
  <c r="I24" i="15" s="1"/>
  <c r="J24" i="15" s="1"/>
  <c r="P23" i="15" a="1"/>
  <c r="P23" i="15" s="1"/>
  <c r="E23" i="15" s="1"/>
  <c r="I23" i="15" s="1"/>
  <c r="J23" i="15" s="1"/>
  <c r="P31" i="15" a="1"/>
  <c r="P31" i="15" s="1"/>
  <c r="E31" i="15" s="1"/>
  <c r="I31" i="15" s="1"/>
  <c r="J31" i="15" s="1"/>
  <c r="P15" i="15" a="1"/>
  <c r="P15" i="15" s="1"/>
  <c r="E15" i="15" s="1"/>
  <c r="I15" i="15" s="1"/>
  <c r="J15" i="15" s="1"/>
  <c r="P37" i="15" a="1"/>
  <c r="P37" i="15" s="1"/>
  <c r="E37" i="15" s="1"/>
  <c r="I37" i="15" s="1"/>
  <c r="J37" i="15" s="1"/>
  <c r="P35" i="15" a="1"/>
  <c r="P35" i="15" s="1"/>
  <c r="E35" i="15" s="1"/>
  <c r="I35" i="15" s="1"/>
  <c r="J35" i="15" s="1"/>
  <c r="P43" i="15" a="1"/>
  <c r="P43" i="15" s="1"/>
  <c r="E43" i="15" s="1"/>
  <c r="I43" i="15" s="1"/>
  <c r="J43" i="15" s="1"/>
  <c r="P28" i="15" a="1"/>
  <c r="P28" i="15" s="1"/>
  <c r="E28" i="15" s="1"/>
  <c r="I28" i="15" s="1"/>
  <c r="J28" i="15" s="1"/>
  <c r="P34" i="15" a="1"/>
  <c r="P34" i="15" s="1"/>
  <c r="E34" i="15" s="1"/>
  <c r="I34" i="15" s="1"/>
  <c r="J34" i="15" s="1"/>
  <c r="P13" i="15" a="1"/>
  <c r="P13" i="15" s="1"/>
  <c r="E13" i="15" s="1"/>
  <c r="I13" i="15" s="1"/>
  <c r="J13" i="15" s="1"/>
  <c r="P10" i="15" a="1"/>
  <c r="P10" i="15" s="1"/>
  <c r="P20" i="15" a="1"/>
  <c r="P20" i="15" s="1"/>
  <c r="E20" i="15" s="1"/>
  <c r="I20" i="15" s="1"/>
  <c r="J20" i="15" s="1"/>
  <c r="P12" i="15" a="1"/>
  <c r="P12" i="15" s="1"/>
  <c r="E12" i="15" s="1"/>
  <c r="I12" i="15" s="1"/>
  <c r="J12" i="15" s="1"/>
  <c r="P25" i="15" a="1"/>
  <c r="P25" i="15" s="1"/>
  <c r="E25" i="15" s="1"/>
  <c r="I25" i="15" s="1"/>
  <c r="J25" i="15" s="1"/>
  <c r="P33" i="15" a="1"/>
  <c r="P33" i="15" s="1"/>
  <c r="E33" i="15" s="1"/>
  <c r="I33" i="15" s="1"/>
  <c r="J33" i="15" s="1"/>
  <c r="P36" i="15" a="1"/>
  <c r="P36" i="15" s="1"/>
  <c r="E36" i="15" s="1"/>
  <c r="I36" i="15" s="1"/>
  <c r="J36" i="15" s="1"/>
  <c r="P22" i="15" a="1"/>
  <c r="P22" i="15" s="1"/>
  <c r="P45" i="15" a="1"/>
  <c r="P45" i="15" s="1"/>
  <c r="E45" i="15" s="1"/>
  <c r="P14" i="15" a="1"/>
  <c r="P14" i="15" s="1"/>
  <c r="E14" i="15" s="1"/>
  <c r="I14" i="15" s="1"/>
  <c r="J14" i="15" s="1"/>
  <c r="E13" i="4"/>
  <c r="E10" i="15" l="1"/>
  <c r="Q36" i="15"/>
  <c r="R36" i="15" s="1"/>
  <c r="A43" i="25"/>
  <c r="E22" i="15"/>
  <c r="I22" i="15" s="1"/>
  <c r="J22" i="15" s="1"/>
  <c r="S44" i="15" s="1"/>
  <c r="S38" i="15"/>
  <c r="P9" i="22"/>
  <c r="B9" i="22"/>
  <c r="O9" i="22" s="1"/>
  <c r="Q12" i="15"/>
  <c r="R12" i="15" s="1"/>
  <c r="Q42" i="15"/>
  <c r="R42" i="15" s="1"/>
  <c r="B10" i="8"/>
  <c r="AB10" i="8" s="1"/>
  <c r="AD10" i="8"/>
  <c r="Q29" i="15"/>
  <c r="R29" i="15" s="1"/>
  <c r="Q30" i="15"/>
  <c r="R30" i="15" s="1"/>
  <c r="Q17" i="15"/>
  <c r="R17" i="15" s="1"/>
  <c r="Q35" i="15"/>
  <c r="R35" i="15" s="1"/>
  <c r="Q26" i="15"/>
  <c r="R26" i="15" s="1"/>
  <c r="Q19" i="15"/>
  <c r="R19" i="15" s="1"/>
  <c r="Q14" i="15"/>
  <c r="R14" i="15" s="1"/>
  <c r="Q45" i="15"/>
  <c r="Q40" i="15"/>
  <c r="R40" i="15" s="1"/>
  <c r="Q32" i="15"/>
  <c r="R32" i="15" s="1"/>
  <c r="Q15" i="15"/>
  <c r="R15" i="15" s="1"/>
  <c r="Q25" i="15"/>
  <c r="R25" i="15" s="1"/>
  <c r="Q16" i="15"/>
  <c r="R16" i="15" s="1"/>
  <c r="Q11" i="15"/>
  <c r="R11" i="15" s="1"/>
  <c r="Q10" i="15"/>
  <c r="Q41" i="15"/>
  <c r="R41" i="15" s="1"/>
  <c r="Q24" i="15"/>
  <c r="R24" i="15" s="1"/>
  <c r="Q20" i="15"/>
  <c r="R20" i="15" s="1"/>
  <c r="Q21" i="15"/>
  <c r="R21" i="15" s="1"/>
  <c r="Q38" i="15"/>
  <c r="R38" i="15" s="1"/>
  <c r="Q27" i="15"/>
  <c r="R27" i="15" s="1"/>
  <c r="Q34" i="15"/>
  <c r="R34" i="15" s="1"/>
  <c r="Q43" i="15"/>
  <c r="R43" i="15" s="1"/>
  <c r="Q13" i="15"/>
  <c r="R13" i="15" s="1"/>
  <c r="C50" i="15" a="1"/>
  <c r="C50" i="15" s="1"/>
  <c r="Q28" i="15"/>
  <c r="R28" i="15" s="1"/>
  <c r="Q23" i="15"/>
  <c r="R23" i="15" s="1"/>
  <c r="Q33" i="15"/>
  <c r="R33" i="15" s="1"/>
  <c r="C51" i="15" a="1"/>
  <c r="C51" i="15" s="1"/>
  <c r="Q18" i="15"/>
  <c r="R18" i="15" s="1"/>
  <c r="Q31" i="15"/>
  <c r="R31" i="15" s="1"/>
  <c r="Q37" i="15"/>
  <c r="R37" i="15" s="1"/>
  <c r="C49" i="15" a="1"/>
  <c r="C49" i="15" s="1"/>
  <c r="Q39" i="15"/>
  <c r="R39" i="15" s="1"/>
  <c r="Q22" i="15"/>
  <c r="Q44" i="15"/>
  <c r="R44" i="15" s="1"/>
  <c r="K34" i="7"/>
  <c r="K33" i="7"/>
  <c r="J34" i="7"/>
  <c r="J33" i="7"/>
  <c r="B35" i="7"/>
  <c r="J45" i="7" s="1"/>
  <c r="B25" i="7"/>
  <c r="B16" i="7"/>
  <c r="M32" i="13" a="1"/>
  <c r="M32" i="13" s="1"/>
  <c r="M25" i="13" a="1"/>
  <c r="M25" i="13" s="1"/>
  <c r="M23" i="13" a="1"/>
  <c r="M23" i="13" s="1"/>
  <c r="M22" i="13" a="1"/>
  <c r="M22" i="13" s="1"/>
  <c r="M34" i="13" a="1"/>
  <c r="M34" i="13" s="1"/>
  <c r="M33" i="13" a="1"/>
  <c r="M33" i="13" s="1"/>
  <c r="M31" i="13" a="1"/>
  <c r="M31" i="13" s="1"/>
  <c r="M43" i="13" a="1"/>
  <c r="M43" i="13" s="1"/>
  <c r="M42" i="13" a="1"/>
  <c r="M42" i="13" s="1"/>
  <c r="M41" i="13" a="1"/>
  <c r="M41" i="13" s="1"/>
  <c r="M40" i="13" a="1"/>
  <c r="M40" i="13" s="1"/>
  <c r="E16" i="13"/>
  <c r="E15" i="13"/>
  <c r="E14" i="13"/>
  <c r="E13" i="13"/>
  <c r="S35" i="15" l="1"/>
  <c r="S40" i="15"/>
  <c r="E51" i="15" a="1"/>
  <c r="E51" i="15" s="1"/>
  <c r="E50" i="15" a="1"/>
  <c r="E50" i="15" s="1"/>
  <c r="R22" i="15"/>
  <c r="T41" i="15" s="1"/>
  <c r="S37" i="15"/>
  <c r="S43" i="15"/>
  <c r="E49" i="15" a="1"/>
  <c r="E49" i="15" s="1"/>
  <c r="S42" i="15"/>
  <c r="S39" i="15"/>
  <c r="S41" i="15"/>
  <c r="H49" i="15" a="1"/>
  <c r="H49" i="15" s="1"/>
  <c r="A42" i="25"/>
  <c r="S34" i="15"/>
  <c r="S36" i="15"/>
  <c r="I45" i="15"/>
  <c r="J35" i="7"/>
  <c r="E22" i="13"/>
  <c r="E23" i="13"/>
  <c r="E24" i="13"/>
  <c r="E17" i="13"/>
  <c r="T44" i="15" l="1"/>
  <c r="T36" i="15"/>
  <c r="T39" i="15"/>
  <c r="T37" i="15"/>
  <c r="T34" i="15"/>
  <c r="T38" i="15"/>
  <c r="T42" i="15"/>
  <c r="H50" i="15" a="1"/>
  <c r="H50" i="15" s="1"/>
  <c r="T35" i="15"/>
  <c r="T43" i="15"/>
  <c r="T40" i="15"/>
  <c r="H51" i="15" a="1"/>
  <c r="H51" i="15" s="1"/>
  <c r="I10" i="15"/>
  <c r="I49" i="15" s="1" a="1"/>
  <c r="I49" i="15" s="1"/>
  <c r="J49" i="15" s="1"/>
  <c r="A41" i="25"/>
  <c r="J45" i="15"/>
  <c r="S45" i="15" s="1"/>
  <c r="E25" i="13"/>
  <c r="E26" i="13" s="1"/>
  <c r="E32" i="13"/>
  <c r="E31" i="13"/>
  <c r="I50" i="15" l="1" a="1"/>
  <c r="I50" i="15" s="1"/>
  <c r="J50" i="15" s="1"/>
  <c r="I51" i="15" a="1"/>
  <c r="I51" i="15" s="1"/>
  <c r="J51" i="15" s="1"/>
  <c r="J10" i="15"/>
  <c r="A40" i="25"/>
  <c r="R45" i="15"/>
  <c r="T45" i="15" s="1"/>
  <c r="E40" i="13"/>
  <c r="E34" i="13"/>
  <c r="E41" i="13"/>
  <c r="S33" i="15" l="1"/>
  <c r="R10" i="15"/>
  <c r="T33" i="15" s="1"/>
  <c r="A39" i="25"/>
  <c r="E33" i="13"/>
  <c r="E35" i="13" s="1"/>
  <c r="A38" i="25" l="1"/>
  <c r="E43" i="13"/>
  <c r="A37" i="25" l="1"/>
  <c r="E42" i="13"/>
  <c r="A36" i="25" l="1"/>
  <c r="E44" i="13"/>
  <c r="A35" i="25" l="1"/>
  <c r="E21" i="4"/>
  <c r="E20" i="4"/>
  <c r="E19" i="4"/>
  <c r="E18" i="4"/>
  <c r="E17" i="4"/>
  <c r="E16" i="4"/>
  <c r="E15" i="4"/>
  <c r="E14" i="4"/>
  <c r="A34" i="25" l="1"/>
  <c r="Q39" i="11"/>
  <c r="Q38" i="11"/>
  <c r="Q37" i="11"/>
  <c r="Q36" i="11"/>
  <c r="Q35" i="11"/>
  <c r="Q34" i="11"/>
  <c r="Q33" i="11"/>
  <c r="Q32" i="11"/>
  <c r="Q31" i="11"/>
  <c r="Q29" i="11"/>
  <c r="Q28" i="11"/>
  <c r="P39" i="11"/>
  <c r="P38" i="11"/>
  <c r="P37" i="11"/>
  <c r="P36" i="11"/>
  <c r="P35" i="11"/>
  <c r="P34" i="11"/>
  <c r="P33" i="11"/>
  <c r="P32" i="11"/>
  <c r="P31" i="11"/>
  <c r="P29" i="11"/>
  <c r="P28" i="11"/>
  <c r="O39" i="11"/>
  <c r="O38" i="11"/>
  <c r="O37" i="11"/>
  <c r="O36" i="11"/>
  <c r="O35" i="11"/>
  <c r="O34" i="11"/>
  <c r="O33" i="11"/>
  <c r="O32" i="11"/>
  <c r="O31" i="11"/>
  <c r="O29" i="11"/>
  <c r="O28" i="11"/>
  <c r="N39" i="11"/>
  <c r="N38" i="11"/>
  <c r="N37" i="11"/>
  <c r="N36" i="11"/>
  <c r="N35" i="11"/>
  <c r="N34" i="11"/>
  <c r="N33" i="11"/>
  <c r="N32" i="11"/>
  <c r="N31" i="11"/>
  <c r="N28" i="11"/>
  <c r="M39" i="11"/>
  <c r="M38" i="11"/>
  <c r="M37" i="11"/>
  <c r="M36" i="11"/>
  <c r="M35" i="11"/>
  <c r="M34" i="11"/>
  <c r="M33" i="11"/>
  <c r="M32" i="11"/>
  <c r="M31" i="11"/>
  <c r="M29" i="11"/>
  <c r="M28" i="11"/>
  <c r="L39" i="11"/>
  <c r="L38" i="11"/>
  <c r="L37" i="11"/>
  <c r="L36" i="11"/>
  <c r="L35" i="11"/>
  <c r="L34" i="11"/>
  <c r="L33" i="11"/>
  <c r="L32" i="11"/>
  <c r="L31" i="11"/>
  <c r="L29" i="11"/>
  <c r="L28" i="11"/>
  <c r="K39" i="11"/>
  <c r="K38" i="11"/>
  <c r="K37" i="11"/>
  <c r="K36" i="11"/>
  <c r="K35" i="11"/>
  <c r="K34" i="11"/>
  <c r="K33" i="11"/>
  <c r="K32" i="11"/>
  <c r="K31" i="11"/>
  <c r="K28" i="11"/>
  <c r="J39" i="11"/>
  <c r="J38" i="11"/>
  <c r="J37" i="11"/>
  <c r="J36" i="11"/>
  <c r="J35" i="11"/>
  <c r="J34" i="11"/>
  <c r="J33" i="11"/>
  <c r="J32" i="11"/>
  <c r="J31" i="11"/>
  <c r="J29" i="11"/>
  <c r="J28" i="11"/>
  <c r="G39" i="11"/>
  <c r="G38" i="11"/>
  <c r="G37" i="11"/>
  <c r="G36" i="11"/>
  <c r="G35" i="11"/>
  <c r="G34" i="11"/>
  <c r="G33" i="11"/>
  <c r="G32" i="11"/>
  <c r="G31" i="11"/>
  <c r="G29" i="11"/>
  <c r="G28" i="11"/>
  <c r="F39" i="11"/>
  <c r="F38" i="11"/>
  <c r="F37" i="11"/>
  <c r="F36" i="11"/>
  <c r="F35" i="11"/>
  <c r="F34" i="11"/>
  <c r="F33" i="11"/>
  <c r="F32" i="11"/>
  <c r="F31" i="11"/>
  <c r="F29" i="11"/>
  <c r="F28" i="11"/>
  <c r="D39" i="11"/>
  <c r="D38" i="11"/>
  <c r="D37" i="11"/>
  <c r="D36" i="11"/>
  <c r="D35" i="11"/>
  <c r="D34" i="11"/>
  <c r="D33" i="11"/>
  <c r="D32" i="11"/>
  <c r="D31" i="11"/>
  <c r="D29" i="11"/>
  <c r="D28" i="11"/>
  <c r="C39" i="11"/>
  <c r="C38" i="11"/>
  <c r="C37" i="11"/>
  <c r="C36" i="11"/>
  <c r="C35" i="11"/>
  <c r="C34" i="11"/>
  <c r="C33" i="11"/>
  <c r="C32" i="11"/>
  <c r="C31" i="11"/>
  <c r="C29" i="11"/>
  <c r="C28" i="11"/>
  <c r="S39" i="11"/>
  <c r="S38" i="11"/>
  <c r="S37" i="11"/>
  <c r="S36" i="11"/>
  <c r="S35" i="11"/>
  <c r="S34" i="11"/>
  <c r="S33" i="11"/>
  <c r="S32" i="11"/>
  <c r="S31" i="11"/>
  <c r="S29" i="11"/>
  <c r="S28" i="11"/>
  <c r="Q23" i="11"/>
  <c r="P23" i="11"/>
  <c r="O23" i="11"/>
  <c r="N23" i="11"/>
  <c r="M23" i="11"/>
  <c r="L23" i="11"/>
  <c r="K23" i="11"/>
  <c r="J23" i="11"/>
  <c r="A33" i="25" l="1"/>
  <c r="S23" i="11"/>
  <c r="R35" i="11"/>
  <c r="R36" i="11"/>
  <c r="R37" i="11"/>
  <c r="R38" i="11"/>
  <c r="R31" i="11"/>
  <c r="R28" i="11"/>
  <c r="R32" i="11"/>
  <c r="R39" i="11"/>
  <c r="R29" i="11"/>
  <c r="R33" i="11"/>
  <c r="R34" i="11"/>
  <c r="A32" i="25" l="1"/>
  <c r="R23" i="11"/>
  <c r="G23" i="11"/>
  <c r="F23" i="11"/>
  <c r="H22" i="11"/>
  <c r="H21" i="11"/>
  <c r="H20" i="11"/>
  <c r="H19" i="11"/>
  <c r="H18" i="11"/>
  <c r="H17" i="11"/>
  <c r="H16" i="11"/>
  <c r="H15" i="11"/>
  <c r="H14" i="11"/>
  <c r="H13" i="11"/>
  <c r="H30" i="11" s="1"/>
  <c r="H12" i="11"/>
  <c r="H11" i="11"/>
  <c r="D23" i="11"/>
  <c r="C23" i="11"/>
  <c r="B23" i="11"/>
  <c r="E22" i="11"/>
  <c r="E39" i="11" s="1"/>
  <c r="E21" i="11"/>
  <c r="E38" i="11" s="1"/>
  <c r="E20" i="11"/>
  <c r="E37" i="11" s="1"/>
  <c r="E19" i="11"/>
  <c r="E36" i="11" s="1"/>
  <c r="E18" i="11"/>
  <c r="E35" i="11" s="1"/>
  <c r="E17" i="11"/>
  <c r="E34" i="11" s="1"/>
  <c r="E16" i="11"/>
  <c r="E33" i="11" s="1"/>
  <c r="E15" i="11"/>
  <c r="E32" i="11" s="1"/>
  <c r="E14" i="11"/>
  <c r="E31" i="11" s="1"/>
  <c r="E13" i="11"/>
  <c r="E30" i="11" s="1"/>
  <c r="E12" i="11"/>
  <c r="E29" i="11" s="1"/>
  <c r="A12" i="11"/>
  <c r="E11" i="11"/>
  <c r="E28" i="11" s="1"/>
  <c r="M21" i="9"/>
  <c r="M22" i="9"/>
  <c r="V20" i="9"/>
  <c r="V23" i="9" s="1"/>
  <c r="AH60" i="9" s="1"/>
  <c r="N20" i="9"/>
  <c r="N23" i="9" s="1"/>
  <c r="K38" i="9"/>
  <c r="AH70" i="9" s="1"/>
  <c r="H38" i="9"/>
  <c r="AE70" i="9" s="1"/>
  <c r="G38" i="9"/>
  <c r="AD70" i="9" s="1"/>
  <c r="F38" i="9"/>
  <c r="AC70" i="9" s="1"/>
  <c r="E38" i="9"/>
  <c r="AB70" i="9" s="1"/>
  <c r="W38" i="9"/>
  <c r="T38" i="9"/>
  <c r="S38" i="9"/>
  <c r="R38" i="9"/>
  <c r="Q38" i="9"/>
  <c r="Y23" i="9" l="1"/>
  <c r="W63" i="9"/>
  <c r="AH63" i="9" s="1"/>
  <c r="W61" i="9"/>
  <c r="AH61" i="9" s="1"/>
  <c r="AC38" i="9"/>
  <c r="AB38" i="9"/>
  <c r="AD38" i="9"/>
  <c r="W28" i="9"/>
  <c r="AH28" i="9" s="1"/>
  <c r="AG23" i="9"/>
  <c r="AE38" i="9"/>
  <c r="AH38" i="9"/>
  <c r="A31" i="25"/>
  <c r="C40" i="11"/>
  <c r="O40" i="11"/>
  <c r="P40" i="11"/>
  <c r="Q40" i="11"/>
  <c r="N40" i="11"/>
  <c r="J40" i="11"/>
  <c r="K40" i="11"/>
  <c r="L40" i="11"/>
  <c r="M40" i="11"/>
  <c r="D40" i="11"/>
  <c r="F40" i="11"/>
  <c r="A13" i="11"/>
  <c r="A29" i="11"/>
  <c r="G40" i="11"/>
  <c r="S40" i="11"/>
  <c r="R40" i="11"/>
  <c r="T28" i="9"/>
  <c r="AE28" i="9" s="1"/>
  <c r="S28" i="9"/>
  <c r="AD28" i="9" s="1"/>
  <c r="R28" i="9"/>
  <c r="AC28" i="9" s="1"/>
  <c r="Q28" i="9"/>
  <c r="AB28" i="9" s="1"/>
  <c r="T15" i="11"/>
  <c r="T32" i="11" s="1"/>
  <c r="H32" i="11"/>
  <c r="T16" i="11"/>
  <c r="T33" i="11" s="1"/>
  <c r="H33" i="11"/>
  <c r="T17" i="11"/>
  <c r="T34" i="11" s="1"/>
  <c r="H34" i="11"/>
  <c r="T18" i="11"/>
  <c r="T35" i="11" s="1"/>
  <c r="H35" i="11"/>
  <c r="T19" i="11"/>
  <c r="T36" i="11" s="1"/>
  <c r="H36" i="11"/>
  <c r="T20" i="11"/>
  <c r="T37" i="11" s="1"/>
  <c r="H37" i="11"/>
  <c r="T21" i="11"/>
  <c r="T38" i="11" s="1"/>
  <c r="H38" i="11"/>
  <c r="T22" i="11"/>
  <c r="T39" i="11" s="1"/>
  <c r="H39" i="11"/>
  <c r="T11" i="11"/>
  <c r="T28" i="11" s="1"/>
  <c r="H28" i="11"/>
  <c r="T12" i="11"/>
  <c r="T29" i="11" s="1"/>
  <c r="H29" i="11"/>
  <c r="T13" i="11"/>
  <c r="T30" i="11" s="1"/>
  <c r="T14" i="11"/>
  <c r="T31" i="11" s="1"/>
  <c r="H31" i="11"/>
  <c r="E23" i="11"/>
  <c r="E40" i="11" s="1"/>
  <c r="H23" i="11"/>
  <c r="B14" i="10"/>
  <c r="AE60" i="9" l="1"/>
  <c r="T63" i="9"/>
  <c r="AE63" i="9" s="1"/>
  <c r="T61" i="9"/>
  <c r="AE61" i="9" s="1"/>
  <c r="AC60" i="9"/>
  <c r="R61" i="9"/>
  <c r="AC61" i="9" s="1"/>
  <c r="R63" i="9"/>
  <c r="AC63" i="9" s="1"/>
  <c r="AB60" i="9"/>
  <c r="Q61" i="9"/>
  <c r="AB61" i="9" s="1"/>
  <c r="Q63" i="9"/>
  <c r="AB63" i="9" s="1"/>
  <c r="AD60" i="9"/>
  <c r="S63" i="9"/>
  <c r="AD63" i="9" s="1"/>
  <c r="S61" i="9"/>
  <c r="AD61" i="9" s="1"/>
  <c r="W29" i="9"/>
  <c r="AH29" i="9" s="1"/>
  <c r="W31" i="9"/>
  <c r="AH31" i="9" s="1"/>
  <c r="A30" i="25"/>
  <c r="H40" i="11"/>
  <c r="T23" i="11"/>
  <c r="T40" i="11" s="1"/>
  <c r="A14" i="11"/>
  <c r="A30" i="11"/>
  <c r="Q31" i="9"/>
  <c r="AB31" i="9" s="1"/>
  <c r="Q29" i="9"/>
  <c r="AB29" i="9" s="1"/>
  <c r="R31" i="9"/>
  <c r="AC31" i="9" s="1"/>
  <c r="R29" i="9"/>
  <c r="AC29" i="9" s="1"/>
  <c r="S31" i="9"/>
  <c r="AD31" i="9" s="1"/>
  <c r="S29" i="9"/>
  <c r="AD29" i="9" s="1"/>
  <c r="T29" i="9"/>
  <c r="AE29" i="9" s="1"/>
  <c r="T31" i="9"/>
  <c r="AE31" i="9" s="1"/>
  <c r="A29" i="25" l="1"/>
  <c r="A15" i="11"/>
  <c r="A31" i="11"/>
  <c r="C18" i="10"/>
  <c r="D13" i="9"/>
  <c r="P13" i="9"/>
  <c r="AA13" i="9" l="1"/>
  <c r="AA45" i="9"/>
  <c r="A28" i="25"/>
  <c r="A16" i="11"/>
  <c r="A32" i="11"/>
  <c r="P36" i="9"/>
  <c r="P34" i="9"/>
  <c r="P33" i="9"/>
  <c r="P17" i="9"/>
  <c r="P15" i="9"/>
  <c r="P30" i="9"/>
  <c r="P18" i="9"/>
  <c r="P16" i="9"/>
  <c r="AA16" i="9" s="1"/>
  <c r="P14" i="9"/>
  <c r="AA14" i="9" s="1"/>
  <c r="P38" i="9"/>
  <c r="D36" i="9"/>
  <c r="D34" i="9"/>
  <c r="D16" i="9"/>
  <c r="D15" i="9"/>
  <c r="D33" i="9"/>
  <c r="D17" i="9"/>
  <c r="AA49" i="9" s="1"/>
  <c r="D30" i="9"/>
  <c r="D14" i="9"/>
  <c r="D18" i="9"/>
  <c r="AA50" i="9" s="1"/>
  <c r="D38" i="9"/>
  <c r="K32" i="8"/>
  <c r="K24" i="8"/>
  <c r="K23" i="8"/>
  <c r="K22" i="8"/>
  <c r="K21" i="8"/>
  <c r="K15" i="8"/>
  <c r="M32" i="8"/>
  <c r="M24" i="8"/>
  <c r="M23" i="8"/>
  <c r="M22" i="8"/>
  <c r="M21" i="8"/>
  <c r="M15" i="8"/>
  <c r="Q32" i="8"/>
  <c r="Q24" i="8"/>
  <c r="Q23" i="8"/>
  <c r="Q22" i="8"/>
  <c r="Q21" i="8"/>
  <c r="Q15" i="8"/>
  <c r="O32" i="8"/>
  <c r="W32" i="8" s="1"/>
  <c r="O24" i="8"/>
  <c r="W24" i="8" s="1"/>
  <c r="O23" i="8"/>
  <c r="O22" i="8"/>
  <c r="W22" i="8" s="1"/>
  <c r="O21" i="8"/>
  <c r="W21" i="8" s="1"/>
  <c r="O15" i="8"/>
  <c r="I32" i="8"/>
  <c r="AC32" i="8" s="1"/>
  <c r="I24" i="8"/>
  <c r="I23" i="8"/>
  <c r="I22" i="8"/>
  <c r="I21" i="8"/>
  <c r="I15" i="8"/>
  <c r="G32" i="8"/>
  <c r="G24" i="8"/>
  <c r="G23" i="8"/>
  <c r="G22" i="8"/>
  <c r="G21" i="8"/>
  <c r="G15" i="8"/>
  <c r="G18" i="8" s="1"/>
  <c r="E32" i="8"/>
  <c r="E24" i="8"/>
  <c r="E23" i="8"/>
  <c r="E22" i="8"/>
  <c r="E21" i="8"/>
  <c r="E15" i="8"/>
  <c r="E18" i="8" s="1"/>
  <c r="C32" i="8"/>
  <c r="C24" i="8"/>
  <c r="C23" i="8"/>
  <c r="C22" i="8"/>
  <c r="C21" i="8"/>
  <c r="C15" i="8"/>
  <c r="C18" i="8" s="1"/>
  <c r="Z70" i="9" l="1"/>
  <c r="AA70" i="9"/>
  <c r="AA62" i="9"/>
  <c r="AA15" i="9"/>
  <c r="Z62" i="9"/>
  <c r="Z65" i="9"/>
  <c r="AA65" i="9"/>
  <c r="AA48" i="9"/>
  <c r="W23" i="8"/>
  <c r="AA47" i="9"/>
  <c r="P56" i="9"/>
  <c r="P57" i="9" s="1"/>
  <c r="AA46" i="9"/>
  <c r="P58" i="9"/>
  <c r="P59" i="9" s="1"/>
  <c r="Z66" i="9"/>
  <c r="AA66" i="9"/>
  <c r="Z68" i="9"/>
  <c r="AA68" i="9"/>
  <c r="AA17" i="9"/>
  <c r="AA32" i="8"/>
  <c r="Y32" i="8"/>
  <c r="AE32" i="8"/>
  <c r="S32" i="8"/>
  <c r="O18" i="8"/>
  <c r="W15" i="8"/>
  <c r="M18" i="8"/>
  <c r="U15" i="8"/>
  <c r="AG15" i="8"/>
  <c r="AG23" i="8"/>
  <c r="U23" i="8"/>
  <c r="AG24" i="8"/>
  <c r="U24" i="8"/>
  <c r="U22" i="8"/>
  <c r="AG22" i="8"/>
  <c r="U32" i="8"/>
  <c r="AG32" i="8"/>
  <c r="I18" i="8"/>
  <c r="AC18" i="8" s="1"/>
  <c r="AC15" i="8"/>
  <c r="Q18" i="8"/>
  <c r="AA15" i="8"/>
  <c r="Y15" i="8"/>
  <c r="K18" i="8"/>
  <c r="AE15" i="8"/>
  <c r="S15" i="8"/>
  <c r="AC21" i="8"/>
  <c r="AA21" i="8"/>
  <c r="Y21" i="8"/>
  <c r="AE21" i="8"/>
  <c r="S21" i="8"/>
  <c r="AC22" i="8"/>
  <c r="Y22" i="8"/>
  <c r="AA22" i="8"/>
  <c r="AE22" i="8"/>
  <c r="S22" i="8"/>
  <c r="AG21" i="8"/>
  <c r="U21" i="8"/>
  <c r="AC23" i="8"/>
  <c r="AA23" i="8"/>
  <c r="Y23" i="8"/>
  <c r="S23" i="8"/>
  <c r="AE23" i="8"/>
  <c r="AC24" i="8"/>
  <c r="AA24" i="8"/>
  <c r="Y24" i="8"/>
  <c r="AE24" i="8"/>
  <c r="S24" i="8"/>
  <c r="Z33" i="9"/>
  <c r="AA33" i="9"/>
  <c r="AA34" i="9"/>
  <c r="AA18" i="9"/>
  <c r="Z36" i="9"/>
  <c r="AA36" i="9"/>
  <c r="Z30" i="9"/>
  <c r="AA30" i="9"/>
  <c r="AA38" i="9"/>
  <c r="A27" i="25"/>
  <c r="A17" i="11"/>
  <c r="A33" i="11"/>
  <c r="D26" i="9"/>
  <c r="P26" i="9"/>
  <c r="P24" i="9"/>
  <c r="D24" i="9"/>
  <c r="D18" i="8"/>
  <c r="J18" i="8"/>
  <c r="M30" i="8"/>
  <c r="H30" i="8"/>
  <c r="AB30" i="8" s="1"/>
  <c r="L18" i="8"/>
  <c r="J30" i="8"/>
  <c r="K30" i="8"/>
  <c r="F18" i="8"/>
  <c r="H18" i="8"/>
  <c r="L30" i="8"/>
  <c r="B30" i="8"/>
  <c r="Q30" i="8"/>
  <c r="B18" i="8"/>
  <c r="F30" i="8"/>
  <c r="I30" i="8"/>
  <c r="O30" i="8"/>
  <c r="C30" i="8"/>
  <c r="C33" i="8" s="1"/>
  <c r="N30" i="8"/>
  <c r="E30" i="8"/>
  <c r="E33" i="8" s="1"/>
  <c r="E36" i="8" s="1"/>
  <c r="P30" i="8"/>
  <c r="G30" i="8"/>
  <c r="G33" i="8" s="1"/>
  <c r="G36" i="8" s="1"/>
  <c r="N18" i="8"/>
  <c r="D30" i="8"/>
  <c r="P18" i="8"/>
  <c r="V30" i="8" l="1"/>
  <c r="D25" i="9"/>
  <c r="AA57" i="9" s="1"/>
  <c r="AA56" i="9"/>
  <c r="D27" i="9"/>
  <c r="AA59" i="9" s="1"/>
  <c r="AA58" i="9"/>
  <c r="Z34" i="9"/>
  <c r="J33" i="8"/>
  <c r="AD30" i="8"/>
  <c r="R30" i="8"/>
  <c r="S18" i="8"/>
  <c r="AE18" i="8"/>
  <c r="O33" i="8"/>
  <c r="W30" i="8"/>
  <c r="I33" i="8"/>
  <c r="AC30" i="8"/>
  <c r="M33" i="8"/>
  <c r="AG30" i="8"/>
  <c r="U30" i="8"/>
  <c r="Y18" i="8"/>
  <c r="AA18" i="8"/>
  <c r="T18" i="8"/>
  <c r="AF18" i="8"/>
  <c r="R18" i="8"/>
  <c r="AD18" i="8"/>
  <c r="U18" i="8"/>
  <c r="AG18" i="8"/>
  <c r="K33" i="8"/>
  <c r="S30" i="8"/>
  <c r="AE30" i="8"/>
  <c r="W18" i="8"/>
  <c r="B12" i="10"/>
  <c r="X18" i="8"/>
  <c r="Z18" i="8"/>
  <c r="Q33" i="8"/>
  <c r="AA30" i="8"/>
  <c r="Y30" i="8"/>
  <c r="V18" i="8"/>
  <c r="AF30" i="8"/>
  <c r="T30" i="8"/>
  <c r="AB18" i="8"/>
  <c r="Z30" i="8"/>
  <c r="X30" i="8"/>
  <c r="C20" i="10"/>
  <c r="Z38" i="9"/>
  <c r="P27" i="9"/>
  <c r="AA27" i="9" s="1"/>
  <c r="AA26" i="9"/>
  <c r="P25" i="9"/>
  <c r="AA25" i="9" s="1"/>
  <c r="AA24" i="9"/>
  <c r="A26" i="25"/>
  <c r="D33" i="8"/>
  <c r="D36" i="8" s="1"/>
  <c r="A18" i="11"/>
  <c r="A34" i="11"/>
  <c r="B13" i="10"/>
  <c r="C13" i="10" s="1"/>
  <c r="C12" i="10"/>
  <c r="H33" i="8"/>
  <c r="F33" i="8"/>
  <c r="F36" i="8" s="1"/>
  <c r="L33" i="8"/>
  <c r="P33" i="8"/>
  <c r="B33" i="8"/>
  <c r="N33" i="8"/>
  <c r="D28" i="9" l="1"/>
  <c r="D29" i="9" s="1"/>
  <c r="P61" i="9"/>
  <c r="P63" i="9"/>
  <c r="K36" i="8"/>
  <c r="S33" i="8"/>
  <c r="AE33" i="8"/>
  <c r="I36" i="8"/>
  <c r="AC33" i="8"/>
  <c r="M36" i="8"/>
  <c r="AG33" i="8"/>
  <c r="U33" i="8"/>
  <c r="O36" i="8"/>
  <c r="W33" i="8"/>
  <c r="N36" i="8"/>
  <c r="V36" i="8" s="1"/>
  <c r="V33" i="8"/>
  <c r="Z33" i="8"/>
  <c r="X33" i="8"/>
  <c r="L36" i="8"/>
  <c r="AF33" i="8"/>
  <c r="T33" i="8"/>
  <c r="Q36" i="8"/>
  <c r="Y33" i="8"/>
  <c r="AA33" i="8"/>
  <c r="H36" i="8"/>
  <c r="AB33" i="8"/>
  <c r="J36" i="8"/>
  <c r="R33" i="8"/>
  <c r="AD33" i="8"/>
  <c r="P28" i="9"/>
  <c r="P31" i="9" s="1"/>
  <c r="A25" i="25"/>
  <c r="D31" i="9"/>
  <c r="A19" i="11"/>
  <c r="A35" i="11"/>
  <c r="P36" i="8"/>
  <c r="AA61" i="9" l="1"/>
  <c r="AA60" i="9"/>
  <c r="AA63" i="9"/>
  <c r="W36" i="8"/>
  <c r="AA31" i="9"/>
  <c r="U36" i="8"/>
  <c r="AG36" i="8"/>
  <c r="AD36" i="8"/>
  <c r="R36" i="8"/>
  <c r="AA36" i="8"/>
  <c r="Y36" i="8"/>
  <c r="T36" i="8"/>
  <c r="AF36" i="8"/>
  <c r="Z36" i="8"/>
  <c r="X36" i="8"/>
  <c r="AE36" i="8"/>
  <c r="S36" i="8"/>
  <c r="P29" i="9"/>
  <c r="AA29" i="9" s="1"/>
  <c r="AA28" i="9"/>
  <c r="A24" i="25"/>
  <c r="A20" i="11"/>
  <c r="A36" i="11"/>
  <c r="C14" i="10"/>
  <c r="C15" i="10" s="1"/>
  <c r="B15" i="10"/>
  <c r="K23" i="7"/>
  <c r="A23" i="25" l="1"/>
  <c r="A21" i="11"/>
  <c r="A37" i="11"/>
  <c r="M33" i="7"/>
  <c r="C24" i="10"/>
  <c r="C25" i="10" s="1"/>
  <c r="M23" i="7"/>
  <c r="A22" i="25" l="1"/>
  <c r="A22" i="11"/>
  <c r="A39" i="11" s="1"/>
  <c r="A38" i="11"/>
  <c r="C33" i="7"/>
  <c r="F14" i="7"/>
  <c r="C14" i="7"/>
  <c r="C23" i="7"/>
  <c r="J25" i="7"/>
  <c r="A21" i="25" l="1"/>
  <c r="J24" i="7"/>
  <c r="C24" i="7"/>
  <c r="C25" i="7" s="1"/>
  <c r="C34" i="7"/>
  <c r="E35" i="7" s="1"/>
  <c r="C15" i="7"/>
  <c r="D16" i="7" s="1"/>
  <c r="F33" i="7"/>
  <c r="I43" i="7" s="1"/>
  <c r="F23" i="7"/>
  <c r="J23" i="7"/>
  <c r="A20" i="25" l="1"/>
  <c r="E46" i="7"/>
  <c r="M45" i="7" s="1"/>
  <c r="E36" i="7"/>
  <c r="E26" i="7"/>
  <c r="D25" i="7"/>
  <c r="E25" i="7"/>
  <c r="I33" i="7"/>
  <c r="D35" i="7"/>
  <c r="K45" i="7" s="1"/>
  <c r="L45" i="7" s="1"/>
  <c r="N45" i="7" s="1" a="1"/>
  <c r="N45" i="7" s="1"/>
  <c r="O45" i="7" s="1"/>
  <c r="I23" i="7"/>
  <c r="C35" i="7"/>
  <c r="C16" i="7"/>
  <c r="F34" i="7"/>
  <c r="I44" i="7" s="1"/>
  <c r="A19" i="25" l="1"/>
  <c r="M35" i="7"/>
  <c r="F35" i="7"/>
  <c r="I45" i="7" s="1"/>
  <c r="K35" i="7"/>
  <c r="E16" i="7"/>
  <c r="M25" i="7" s="1"/>
  <c r="F15" i="7"/>
  <c r="F16" i="7" s="1"/>
  <c r="A18" i="25" l="1"/>
  <c r="G14" i="4"/>
  <c r="H14" i="4"/>
  <c r="G15" i="4"/>
  <c r="H15" i="4"/>
  <c r="G16" i="4"/>
  <c r="H16" i="4"/>
  <c r="G17" i="4"/>
  <c r="H17" i="4"/>
  <c r="G18" i="4"/>
  <c r="H18" i="4"/>
  <c r="G19" i="4"/>
  <c r="H19" i="4"/>
  <c r="G20" i="4"/>
  <c r="H20" i="4"/>
  <c r="G21" i="4"/>
  <c r="H21" i="4"/>
  <c r="A17" i="25" l="1"/>
  <c r="J20" i="4"/>
  <c r="K19" i="4"/>
  <c r="J18" i="4"/>
  <c r="J19" i="4"/>
  <c r="J15" i="4"/>
  <c r="J21" i="4"/>
  <c r="J17" i="4"/>
  <c r="K32" i="4"/>
  <c r="E22" i="4"/>
  <c r="J32" i="4"/>
  <c r="K18" i="4"/>
  <c r="L18" i="4" s="1"/>
  <c r="K17" i="4"/>
  <c r="K16" i="4"/>
  <c r="K20" i="4"/>
  <c r="K15" i="4"/>
  <c r="I16" i="4"/>
  <c r="J16" i="4"/>
  <c r="F22" i="4"/>
  <c r="I21" i="4"/>
  <c r="K21" i="4"/>
  <c r="H25" i="4"/>
  <c r="H26" i="4" s="1"/>
  <c r="I18" i="4"/>
  <c r="J29" i="4"/>
  <c r="I19" i="4"/>
  <c r="G25" i="4"/>
  <c r="I17" i="4"/>
  <c r="K29" i="4"/>
  <c r="I15" i="4"/>
  <c r="I14" i="4"/>
  <c r="I20" i="4"/>
  <c r="L21" i="4" l="1"/>
  <c r="L19" i="4"/>
  <c r="A16" i="25"/>
  <c r="L20" i="4"/>
  <c r="L17" i="4"/>
  <c r="L15" i="4"/>
  <c r="L16" i="4"/>
  <c r="J30" i="4"/>
  <c r="L32" i="4"/>
  <c r="J33" i="4"/>
  <c r="L29" i="4"/>
  <c r="G26" i="4"/>
  <c r="K24" i="7"/>
  <c r="F24" i="7"/>
  <c r="F25" i="7" s="1"/>
  <c r="A15" i="25" l="1"/>
  <c r="I35" i="7"/>
  <c r="I34" i="7"/>
  <c r="M34" i="7"/>
  <c r="M24" i="7"/>
  <c r="I24" i="7"/>
  <c r="K25" i="7"/>
  <c r="A14" i="25" l="1"/>
  <c r="I25" i="7"/>
  <c r="A13" i="25" l="1"/>
  <c r="L35" i="7"/>
  <c r="N35" i="7" s="1" a="1"/>
  <c r="N35" i="7" s="1"/>
  <c r="L25" i="7"/>
  <c r="A12" i="25" l="1"/>
  <c r="N25" i="7" a="1"/>
  <c r="N25" i="7" s="1"/>
  <c r="O25" i="7" s="1"/>
  <c r="O35" i="7"/>
  <c r="A11" i="25" l="1"/>
  <c r="B36" i="8"/>
  <c r="AB36" i="8" s="1"/>
  <c r="C36" i="8"/>
  <c r="AC36" i="8" s="1"/>
  <c r="P12" i="25" l="1" a="1"/>
  <c r="P12" i="25" s="1"/>
  <c r="C12" i="25" s="1"/>
  <c r="E12" i="25" s="1"/>
  <c r="G50" i="25" a="1"/>
  <c r="G50" i="25" s="1"/>
  <c r="P37" i="25" a="1"/>
  <c r="P37" i="25" s="1"/>
  <c r="C37" i="25" s="1"/>
  <c r="E37" i="25" s="1"/>
  <c r="H37" i="25" s="1"/>
  <c r="I37" i="25" s="1"/>
  <c r="J37" i="25" s="1"/>
  <c r="P25" i="25" a="1"/>
  <c r="P25" i="25" s="1"/>
  <c r="C25" i="25" s="1"/>
  <c r="E25" i="25" s="1"/>
  <c r="P14" i="25" a="1"/>
  <c r="P14" i="25" s="1"/>
  <c r="C14" i="25" s="1"/>
  <c r="E14" i="25" s="1"/>
  <c r="P26" i="25" a="1"/>
  <c r="P26" i="25" s="1"/>
  <c r="C26" i="25" s="1"/>
  <c r="E26" i="25" s="1"/>
  <c r="H26" i="25" s="1"/>
  <c r="I26" i="25" s="1"/>
  <c r="J26" i="25" s="1"/>
  <c r="B52" i="25" a="1"/>
  <c r="B52" i="25" s="1"/>
  <c r="P34" i="25" a="1"/>
  <c r="P34" i="25" s="1"/>
  <c r="C34" i="25" s="1"/>
  <c r="E34" i="25" s="1"/>
  <c r="P24" i="25" a="1"/>
  <c r="P24" i="25" s="1"/>
  <c r="C24" i="25" s="1"/>
  <c r="E24" i="25" s="1"/>
  <c r="P13" i="25" a="1"/>
  <c r="P13" i="25" s="1"/>
  <c r="C13" i="25" s="1"/>
  <c r="E13" i="25" s="1"/>
  <c r="H13" i="25" s="1"/>
  <c r="I13" i="25" s="1"/>
  <c r="J13" i="25" s="1"/>
  <c r="F52" i="25" a="1"/>
  <c r="F52" i="25" s="1"/>
  <c r="F51" i="25" a="1"/>
  <c r="F51" i="25" s="1"/>
  <c r="P33" i="25" a="1"/>
  <c r="P33" i="25" s="1"/>
  <c r="C33" i="25" s="1"/>
  <c r="E33" i="25" s="1"/>
  <c r="H33" i="25" s="1"/>
  <c r="I33" i="25" s="1"/>
  <c r="J33" i="25" s="1"/>
  <c r="P23" i="25" a="1"/>
  <c r="P23" i="25" s="1"/>
  <c r="C23" i="25" s="1"/>
  <c r="E23" i="25" s="1"/>
  <c r="H23" i="25" s="1"/>
  <c r="I23" i="25" s="1"/>
  <c r="J23" i="25" s="1"/>
  <c r="B51" i="25" a="1"/>
  <c r="B51" i="25" s="1"/>
  <c r="B50" i="25" a="1"/>
  <c r="B50" i="25" s="1"/>
  <c r="P32" i="25" a="1"/>
  <c r="P32" i="25" s="1"/>
  <c r="C32" i="25" s="1"/>
  <c r="E32" i="25" s="1"/>
  <c r="P22" i="25" a="1"/>
  <c r="P22" i="25" s="1"/>
  <c r="C22" i="25" s="1"/>
  <c r="E22" i="25" s="1"/>
  <c r="F50" i="25" a="1"/>
  <c r="F50" i="25" s="1"/>
  <c r="P46" i="25" a="1"/>
  <c r="P46" i="25" s="1"/>
  <c r="C46" i="25" s="1"/>
  <c r="E46" i="25" s="1"/>
  <c r="P21" i="25" a="1"/>
  <c r="P21" i="25" s="1"/>
  <c r="C21" i="25" s="1"/>
  <c r="E21" i="25" s="1"/>
  <c r="H21" i="25" s="1"/>
  <c r="I21" i="25" s="1"/>
  <c r="J21" i="25" s="1"/>
  <c r="P17" i="25" a="1"/>
  <c r="P17" i="25" s="1"/>
  <c r="C17" i="25" s="1"/>
  <c r="E17" i="25" s="1"/>
  <c r="H17" i="25" s="1"/>
  <c r="I17" i="25" s="1"/>
  <c r="J17" i="25" s="1"/>
  <c r="P44" i="25" a="1"/>
  <c r="P44" i="25" s="1"/>
  <c r="C44" i="25" s="1"/>
  <c r="E44" i="25" s="1"/>
  <c r="H44" i="25" s="1"/>
  <c r="I44" i="25" s="1"/>
  <c r="J44" i="25" s="1"/>
  <c r="P11" i="25" a="1"/>
  <c r="P11" i="25" s="1"/>
  <c r="C11" i="25" s="1"/>
  <c r="E11" i="25" s="1"/>
  <c r="P20" i="25" a="1"/>
  <c r="P20" i="25" s="1"/>
  <c r="C20" i="25" s="1"/>
  <c r="E20" i="25" s="1"/>
  <c r="H20" i="25" s="1"/>
  <c r="I20" i="25" s="1"/>
  <c r="J20" i="25" s="1"/>
  <c r="P18" i="25" a="1"/>
  <c r="P18" i="25" s="1"/>
  <c r="C18" i="25" s="1"/>
  <c r="E18" i="25" s="1"/>
  <c r="P15" i="25" a="1"/>
  <c r="P15" i="25" s="1"/>
  <c r="C15" i="25" s="1"/>
  <c r="E15" i="25" s="1"/>
  <c r="P40" i="25" a="1"/>
  <c r="P40" i="25" s="1"/>
  <c r="C40" i="25" s="1"/>
  <c r="E40" i="25" s="1"/>
  <c r="G52" i="25" a="1"/>
  <c r="G52" i="25" s="1"/>
  <c r="P31" i="25" a="1"/>
  <c r="P31" i="25" s="1"/>
  <c r="C31" i="25" s="1"/>
  <c r="E31" i="25" s="1"/>
  <c r="H31" i="25" s="1"/>
  <c r="I31" i="25" s="1"/>
  <c r="J31" i="25" s="1"/>
  <c r="P45" i="25" a="1"/>
  <c r="P45" i="25" s="1"/>
  <c r="C45" i="25" s="1"/>
  <c r="E45" i="25" s="1"/>
  <c r="P36" i="25" a="1"/>
  <c r="P36" i="25" s="1"/>
  <c r="Q36" i="25" s="1"/>
  <c r="P43" i="25" a="1"/>
  <c r="P43" i="25" s="1"/>
  <c r="C43" i="25" s="1"/>
  <c r="E43" i="25" s="1"/>
  <c r="H43" i="25" s="1"/>
  <c r="I43" i="25" s="1"/>
  <c r="J43" i="25" s="1"/>
  <c r="P30" i="25" a="1"/>
  <c r="P30" i="25" s="1"/>
  <c r="C30" i="25" s="1"/>
  <c r="E30" i="25" s="1"/>
  <c r="P19" i="25" a="1"/>
  <c r="P19" i="25" s="1"/>
  <c r="C19" i="25" s="1"/>
  <c r="E19" i="25" s="1"/>
  <c r="H19" i="25" s="1"/>
  <c r="I19" i="25" s="1"/>
  <c r="J19" i="25" s="1"/>
  <c r="P38" i="25" a="1"/>
  <c r="P38" i="25" s="1"/>
  <c r="C38" i="25" s="1"/>
  <c r="E38" i="25" s="1"/>
  <c r="P35" i="25" a="1"/>
  <c r="P35" i="25" s="1"/>
  <c r="C35" i="25" s="1"/>
  <c r="E35" i="25" s="1"/>
  <c r="H35" i="25" s="1"/>
  <c r="I35" i="25" s="1"/>
  <c r="J35" i="25" s="1"/>
  <c r="P42" i="25" a="1"/>
  <c r="P42" i="25" s="1"/>
  <c r="C42" i="25" s="1"/>
  <c r="E42" i="25" s="1"/>
  <c r="P29" i="25" a="1"/>
  <c r="P29" i="25" s="1"/>
  <c r="C29" i="25" s="1"/>
  <c r="E29" i="25" s="1"/>
  <c r="P28" i="25" a="1"/>
  <c r="P28" i="25" s="1"/>
  <c r="C28" i="25" s="1"/>
  <c r="E28" i="25" s="1"/>
  <c r="P41" i="25" a="1"/>
  <c r="P41" i="25" s="1"/>
  <c r="C41" i="25" s="1"/>
  <c r="E41" i="25" s="1"/>
  <c r="P39" i="25" a="1"/>
  <c r="P39" i="25" s="1"/>
  <c r="C39" i="25" s="1"/>
  <c r="E39" i="25" s="1"/>
  <c r="P27" i="25" a="1"/>
  <c r="P27" i="25" s="1"/>
  <c r="C27" i="25" s="1"/>
  <c r="E27" i="25" s="1"/>
  <c r="H27" i="25" s="1"/>
  <c r="I27" i="25" s="1"/>
  <c r="J27" i="25" s="1"/>
  <c r="P16" i="25" a="1"/>
  <c r="P16" i="25" s="1"/>
  <c r="C16" i="25" s="1"/>
  <c r="E16" i="25" s="1"/>
  <c r="H16" i="25" s="1"/>
  <c r="I16" i="25" s="1"/>
  <c r="J16" i="25" s="1"/>
  <c r="G51" i="25" a="1"/>
  <c r="G51" i="25" s="1"/>
  <c r="Q45" i="25"/>
  <c r="Q44" i="25"/>
  <c r="Q37" i="25"/>
  <c r="Q33" i="25"/>
  <c r="Q25" i="25"/>
  <c r="C11" i="4"/>
  <c r="C6" i="13"/>
  <c r="Q22" i="25" l="1"/>
  <c r="Q34" i="25"/>
  <c r="Q32" i="25"/>
  <c r="Q46" i="25"/>
  <c r="Q40" i="25"/>
  <c r="R37" i="25"/>
  <c r="Q18" i="25"/>
  <c r="Q42" i="25"/>
  <c r="Q20" i="25"/>
  <c r="R20" i="25" s="1"/>
  <c r="Q28" i="25"/>
  <c r="R33" i="25"/>
  <c r="R44" i="25"/>
  <c r="Q29" i="25"/>
  <c r="Q41" i="25"/>
  <c r="Q30" i="25"/>
  <c r="Q19" i="25"/>
  <c r="R19" i="25" s="1"/>
  <c r="Q21" i="25"/>
  <c r="R21" i="25" s="1"/>
  <c r="Q17" i="25"/>
  <c r="R17" i="25" s="1"/>
  <c r="Q13" i="25"/>
  <c r="R13" i="25" s="1"/>
  <c r="Q24" i="25"/>
  <c r="Q31" i="25"/>
  <c r="R31" i="25" s="1"/>
  <c r="Q43" i="25"/>
  <c r="R43" i="25" s="1"/>
  <c r="H11" i="25"/>
  <c r="H38" i="25"/>
  <c r="I38" i="25" s="1"/>
  <c r="J38" i="25" s="1"/>
  <c r="Q23" i="25"/>
  <c r="R23" i="25" s="1"/>
  <c r="Q35" i="25"/>
  <c r="R35" i="25" s="1"/>
  <c r="H30" i="25"/>
  <c r="I30" i="25" s="1"/>
  <c r="J30" i="25" s="1"/>
  <c r="H24" i="25"/>
  <c r="I24" i="25" s="1"/>
  <c r="J24" i="25" s="1"/>
  <c r="C36" i="25"/>
  <c r="C52" i="25" s="1" a="1"/>
  <c r="C52" i="25" s="1"/>
  <c r="Q12" i="25"/>
  <c r="H46" i="25"/>
  <c r="I46" i="25" s="1"/>
  <c r="J46" i="25" s="1"/>
  <c r="R46" i="25" s="1"/>
  <c r="H34" i="25"/>
  <c r="I34" i="25" s="1"/>
  <c r="J34" i="25" s="1"/>
  <c r="Q14" i="25"/>
  <c r="Q26" i="25"/>
  <c r="R26" i="25" s="1"/>
  <c r="Q38" i="25"/>
  <c r="H45" i="25"/>
  <c r="I45" i="25" s="1"/>
  <c r="J45" i="25" s="1"/>
  <c r="R45" i="25" s="1"/>
  <c r="H39" i="25"/>
  <c r="I39" i="25" s="1"/>
  <c r="J39" i="25" s="1"/>
  <c r="H22" i="25"/>
  <c r="I22" i="25" s="1"/>
  <c r="J22" i="25" s="1"/>
  <c r="R22" i="25" s="1"/>
  <c r="Q15" i="25"/>
  <c r="Q27" i="25"/>
  <c r="R27" i="25" s="1"/>
  <c r="Q39" i="25"/>
  <c r="Q16" i="25"/>
  <c r="R16" i="25" s="1"/>
  <c r="H41" i="25"/>
  <c r="I41" i="25" s="1"/>
  <c r="J41" i="25" s="1"/>
  <c r="H32" i="25"/>
  <c r="I32" i="25" s="1"/>
  <c r="J32" i="25" s="1"/>
  <c r="R32" i="25" s="1"/>
  <c r="H14" i="25"/>
  <c r="I14" i="25" s="1"/>
  <c r="J14" i="25" s="1"/>
  <c r="H28" i="25"/>
  <c r="I28" i="25" s="1"/>
  <c r="J28" i="25" s="1"/>
  <c r="H40" i="25"/>
  <c r="I40" i="25" s="1"/>
  <c r="J40" i="25" s="1"/>
  <c r="R40" i="25" s="1"/>
  <c r="H25" i="25"/>
  <c r="I25" i="25" s="1"/>
  <c r="J25" i="25" s="1"/>
  <c r="H29" i="25"/>
  <c r="I29" i="25" s="1"/>
  <c r="J29" i="25" s="1"/>
  <c r="H15" i="25"/>
  <c r="I15" i="25" s="1"/>
  <c r="J15" i="25" s="1"/>
  <c r="H42" i="25"/>
  <c r="I42" i="25" s="1"/>
  <c r="J42" i="25" s="1"/>
  <c r="H18" i="25"/>
  <c r="I18" i="25" s="1"/>
  <c r="J18" i="25" s="1"/>
  <c r="Q11" i="25"/>
  <c r="H12" i="25"/>
  <c r="I12" i="25" s="1"/>
  <c r="J12" i="25" s="1"/>
  <c r="R18" i="25" l="1"/>
  <c r="R41" i="25"/>
  <c r="R42" i="25"/>
  <c r="C50" i="25" a="1"/>
  <c r="C50" i="25" s="1"/>
  <c r="R38" i="25"/>
  <c r="R30" i="25"/>
  <c r="R28" i="25"/>
  <c r="R34" i="25"/>
  <c r="R29" i="25"/>
  <c r="R12" i="25"/>
  <c r="E36" i="25"/>
  <c r="C51" i="25" a="1"/>
  <c r="C51" i="25" s="1"/>
  <c r="S35" i="25"/>
  <c r="R39" i="25"/>
  <c r="R24" i="25"/>
  <c r="R14" i="25"/>
  <c r="R15" i="25"/>
  <c r="R25" i="25"/>
  <c r="I11" i="25"/>
  <c r="T35" i="25" l="1"/>
  <c r="J11" i="25"/>
  <c r="H36" i="25"/>
  <c r="I36" i="25" s="1"/>
  <c r="E52" i="25" a="1"/>
  <c r="E52" i="25" s="1"/>
  <c r="E51" i="25" a="1"/>
  <c r="E51" i="25" s="1"/>
  <c r="E50" i="25" a="1"/>
  <c r="E50" i="25" s="1"/>
  <c r="J36" i="25" l="1"/>
  <c r="R36" i="25" s="1"/>
  <c r="I51" i="25" a="1"/>
  <c r="I51" i="25" s="1"/>
  <c r="J51" i="25" s="1"/>
  <c r="I52" i="25" a="1"/>
  <c r="I52" i="25" s="1"/>
  <c r="J52" i="25" s="1"/>
  <c r="I50" i="25" a="1"/>
  <c r="I50" i="25" s="1"/>
  <c r="J50" i="25" s="1"/>
  <c r="S34" i="25"/>
  <c r="R11" i="25"/>
  <c r="T34" i="25" s="1"/>
  <c r="H51" i="25" a="1"/>
  <c r="H51" i="25" s="1"/>
  <c r="H50" i="25" a="1"/>
  <c r="H50" i="25" s="1"/>
  <c r="H52" i="25" a="1"/>
  <c r="H52" i="25" s="1"/>
  <c r="S40" i="25" l="1"/>
  <c r="S44" i="25"/>
  <c r="S39" i="25"/>
  <c r="S36" i="25"/>
  <c r="S43" i="25"/>
  <c r="S42" i="25"/>
  <c r="S37" i="25"/>
  <c r="S45" i="25"/>
  <c r="S38" i="25"/>
  <c r="S41" i="25"/>
  <c r="S46" i="25"/>
  <c r="T46" i="25"/>
  <c r="T37" i="25"/>
  <c r="T40" i="25"/>
  <c r="T41" i="25"/>
  <c r="T38" i="25"/>
  <c r="T36" i="25"/>
  <c r="T45" i="25"/>
  <c r="T39" i="25"/>
  <c r="T44" i="25"/>
  <c r="T42" i="25"/>
  <c r="T43" i="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<sst xmlns="http://schemas.openxmlformats.org/spreadsheetml/2006/main" count="998" uniqueCount="326">
  <si>
    <t>Market:</t>
  </si>
  <si>
    <t>Individual</t>
  </si>
  <si>
    <t>Small Group</t>
  </si>
  <si>
    <t>Metal Level</t>
  </si>
  <si>
    <t>Induced Demand Factor (IDF)</t>
  </si>
  <si>
    <t>Catastrophic</t>
  </si>
  <si>
    <t>Bronze</t>
  </si>
  <si>
    <t>Silver</t>
  </si>
  <si>
    <t>Gold</t>
  </si>
  <si>
    <t>Platinum</t>
  </si>
  <si>
    <t>Plan Category</t>
  </si>
  <si>
    <t>&lt;&lt;Label and options are taken from URR Instructions</t>
  </si>
  <si>
    <t>New</t>
  </si>
  <si>
    <t>Renewing</t>
  </si>
  <si>
    <t>Terminated</t>
  </si>
  <si>
    <t>CSR Variant Types</t>
  </si>
  <si>
    <t>NA</t>
  </si>
  <si>
    <t>CSR 73%</t>
  </si>
  <si>
    <t>CSR 87%</t>
  </si>
  <si>
    <t>CSR 94%</t>
  </si>
  <si>
    <t>Limited Cost-Share</t>
  </si>
  <si>
    <t>Zero Cost-Share</t>
  </si>
  <si>
    <t>Individual and Small Group Nongrandfathered Health Plan</t>
  </si>
  <si>
    <t>Standardized Rate Filing Exhibits</t>
  </si>
  <si>
    <t>for Plan Year 2026</t>
  </si>
  <si>
    <t>Purpose</t>
  </si>
  <si>
    <t>This workbook is designed to support the submission of rate filings for 2026 Individual and Small Group Non-Grandfathered Health products. Please read and follow the instructions below before completing and submitting your workbook.</t>
  </si>
  <si>
    <t>General Instructions</t>
  </si>
  <si>
    <t>Complete All Required Sheets</t>
  </si>
  <si>
    <t>Use of Yellow Cells</t>
  </si>
  <si>
    <t>Provide Comments for Clarification</t>
  </si>
  <si>
    <t>Delete Example Sheets Before Submission</t>
  </si>
  <si>
    <t>Submit a Clean Workbook</t>
  </si>
  <si>
    <t>Ensure the workbook is complete, accurate, and free of any instructional or example content before submitting it for regulatory review.</t>
  </si>
  <si>
    <t>Important Definitions</t>
  </si>
  <si>
    <t>Meaning of "Actual"</t>
  </si>
  <si>
    <t>When determining actual results, consider the purpose and context of each template sheet. Generally, the intent is to compare actual to expected results to assess predictive accuracy or to normalize past data to current conditions. Actual results should be reported on a basis comparable to expected results.</t>
  </si>
  <si>
    <t>WA Exhibit 1: Experience Data</t>
  </si>
  <si>
    <t>Carrier Name:</t>
  </si>
  <si>
    <t>ABC Company</t>
  </si>
  <si>
    <t>Rate Filing Plan Year:</t>
  </si>
  <si>
    <t>Experience Period Year:</t>
  </si>
  <si>
    <t>Incurred Month
yyyymm</t>
  </si>
  <si>
    <t>Member Months</t>
  </si>
  <si>
    <t>Incurred &amp; Paid Claims</t>
  </si>
  <si>
    <t>IBNP for Incurred Claims</t>
  </si>
  <si>
    <t>Ultimate Incurred Claims</t>
  </si>
  <si>
    <t>Allowed Claims (without IBNP)</t>
  </si>
  <si>
    <t>IBNP for Allowed Claims</t>
  </si>
  <si>
    <t>Ultimate Allowed Claims</t>
  </si>
  <si>
    <t>Inpatient Hospital</t>
  </si>
  <si>
    <t>Outpatient Hospital</t>
  </si>
  <si>
    <t>Professional</t>
  </si>
  <si>
    <t>Other Medical</t>
  </si>
  <si>
    <t>Capitation</t>
  </si>
  <si>
    <t>Prescription Drug before Drug Rebates</t>
  </si>
  <si>
    <t>Prescription Drug Rebates
(Negative $)</t>
  </si>
  <si>
    <t>Non-EHBs</t>
  </si>
  <si>
    <t>Total EHB Allowed</t>
  </si>
  <si>
    <t>Total Allowed
(EHB + non-EHB)</t>
  </si>
  <si>
    <t>Check Total Allowed
(should be $0)</t>
  </si>
  <si>
    <t>Comments</t>
  </si>
  <si>
    <t>WA Exhibit 2: Overall Actual to Expected Experience Reporting and Analysis</t>
  </si>
  <si>
    <t>Actual-to-Expected Experience</t>
  </si>
  <si>
    <t>Line Item</t>
  </si>
  <si>
    <t>Description</t>
  </si>
  <si>
    <t>ACTUAL EXPERIENCE
(A)</t>
  </si>
  <si>
    <t>PROJECTED
(i.e., Expected; E)</t>
  </si>
  <si>
    <t>A:E - 1</t>
  </si>
  <si>
    <t>A - E</t>
  </si>
  <si>
    <t>a</t>
  </si>
  <si>
    <t>Member Months (MM)</t>
  </si>
  <si>
    <t>b</t>
  </si>
  <si>
    <t>Premium</t>
  </si>
  <si>
    <t>c</t>
  </si>
  <si>
    <t>Allowed Claims</t>
  </si>
  <si>
    <t>d</t>
  </si>
  <si>
    <t>Incurred Claims</t>
  </si>
  <si>
    <t>e</t>
  </si>
  <si>
    <t>Cost Sharing Reduction (CSR) Amounts</t>
  </si>
  <si>
    <t>f</t>
  </si>
  <si>
    <t>Risk Adjustment Transfer Amounts</t>
  </si>
  <si>
    <t>g</t>
  </si>
  <si>
    <t>Administrative Expense</t>
  </si>
  <si>
    <t>h</t>
  </si>
  <si>
    <t>Taxes and Fees</t>
  </si>
  <si>
    <t>i</t>
  </si>
  <si>
    <t>Profit Margin (a.k.a. Profit &amp; Risk Load)</t>
  </si>
  <si>
    <t>j</t>
  </si>
  <si>
    <t>Paid-to-Allowed Ratios</t>
  </si>
  <si>
    <t>Profit Reconciliation</t>
  </si>
  <si>
    <t>Calculate profit using PMPMs from the table above</t>
  </si>
  <si>
    <t>Difference (should be close to $0)</t>
  </si>
  <si>
    <t>Loss Ratios</t>
  </si>
  <si>
    <t>Simple Loss Ratio (=Incurred Claims / Premium)</t>
  </si>
  <si>
    <t>Indicated Rate Change Required, if only based on A:E simple loss ratio</t>
  </si>
  <si>
    <t>Risk Adjusted Loss Ratio (=Incurred Claims / (Premium + Risk Adjustment Transfer))</t>
  </si>
  <si>
    <t>Indicated Rate Change Required, if only based on A:E risk adjusted loss ratio</t>
  </si>
  <si>
    <t>WA Exhibit 3: Essential Health Benefit (EHB) Trend Reporting and Analysis by Benefit Category, Frequency and Unit Cost</t>
  </si>
  <si>
    <t>DATA -- EHB Allowed Claims</t>
  </si>
  <si>
    <t>TRENDS -- EHB Allowed Claims</t>
  </si>
  <si>
    <t>URRT w1 Benefit Category</t>
  </si>
  <si>
    <t>Frequency Units</t>
  </si>
  <si>
    <t>Units per 1,000</t>
  </si>
  <si>
    <t>Unit Cost</t>
  </si>
  <si>
    <t>EHB Cost PMPM</t>
  </si>
  <si>
    <t>Days</t>
  </si>
  <si>
    <t>Services</t>
  </si>
  <si>
    <t>Prescription Drug</t>
  </si>
  <si>
    <t>Days Filled</t>
  </si>
  <si>
    <t>Total</t>
  </si>
  <si>
    <t>Unit Cost Components</t>
  </si>
  <si>
    <t>Service</t>
  </si>
  <si>
    <t>Total EHB Cost</t>
  </si>
  <si>
    <t>Utilization</t>
  </si>
  <si>
    <t>Service Mix 
/ Intensity</t>
  </si>
  <si>
    <t>Reimbursement</t>
  </si>
  <si>
    <t>Check</t>
  </si>
  <si>
    <t>(ILLUSTRATIVE EXAMPLE)</t>
  </si>
  <si>
    <t>This exhibit should not be submitted to SERFF with the other rate filing exhibits.</t>
  </si>
  <si>
    <t>Service Mix / Intensity</t>
  </si>
  <si>
    <t>Purpose and background</t>
  </si>
  <si>
    <t>Demonstrate the concept of service mix / intensity within the professional benefit category.</t>
  </si>
  <si>
    <t>For demonstration purposes, suppose the professional benefit category only includes two services (as shown below).</t>
  </si>
  <si>
    <t>DATA -- Utilization, Unit Cost, Reimbursement, &amp; Total Cost</t>
  </si>
  <si>
    <t>TRENDS -- Calculations by benefit category</t>
  </si>
  <si>
    <t>EXPERIENCE -- PERIOD 1</t>
  </si>
  <si>
    <t>Professional Benefit Category</t>
  </si>
  <si>
    <t>Services in Category</t>
  </si>
  <si>
    <t>Number of Units</t>
  </si>
  <si>
    <t>Distribution of Units</t>
  </si>
  <si>
    <t>Reimbursement
per Unit</t>
  </si>
  <si>
    <t>Total Cost</t>
  </si>
  <si>
    <t>PCP Office Visit</t>
  </si>
  <si>
    <t>Specialist Office Visit</t>
  </si>
  <si>
    <t>^^ Per provider agreements</t>
  </si>
  <si>
    <t>EXPERIENCE -- PERIOD 2</t>
  </si>
  <si>
    <t>Total using current period's service distribution</t>
  </si>
  <si>
    <t>Total using prior period's service distribution</t>
  </si>
  <si>
    <t>^^ Total uses prior period's service distribution</t>
  </si>
  <si>
    <t>^^ Based on service mix / intensity and reimbursement</t>
  </si>
  <si>
    <t>EXPERIENCE -- PERIOD 3</t>
  </si>
  <si>
    <t>Utilization
Trend</t>
  </si>
  <si>
    <t>PROJECTED (i.e., EXPECTED) -- PLAN YEAR</t>
  </si>
  <si>
    <t>^^ Per projected provider agreements</t>
  </si>
  <si>
    <t>WA Exhibit 4: Normalized Allowed Claims Analysis</t>
  </si>
  <si>
    <t>Table 3.1</t>
  </si>
  <si>
    <t>Allowable Rating Adjustments</t>
  </si>
  <si>
    <t>Incurred Date (YYYYMM)</t>
  </si>
  <si>
    <t>Allowed Claims 
(as of 3/31/2025)</t>
  </si>
  <si>
    <t>Allowed Claims Completion factor (based on IBNP estimates)</t>
  </si>
  <si>
    <t>One-Time Adjustment for High Claims (Non-Predictive Claims)</t>
  </si>
  <si>
    <t>One-Time Adjustment for HCRP Receipts</t>
  </si>
  <si>
    <t>Non-EHB Allowed Claims</t>
  </si>
  <si>
    <t>Predictive Ultimate Allowed EHB Claims</t>
  </si>
  <si>
    <t>Predictive Ultimate Allowed EHB Claims PMPM</t>
  </si>
  <si>
    <t>Morbidity Adjustment</t>
  </si>
  <si>
    <t>Demographic Shift</t>
  </si>
  <si>
    <t>Plan Design Changes</t>
  </si>
  <si>
    <t>Other Adjustments</t>
  </si>
  <si>
    <t>Combined Adjustment</t>
  </si>
  <si>
    <t>Accumulated Adjustments</t>
  </si>
  <si>
    <t>Allowable Rating Adjustment Normalization Factor</t>
  </si>
  <si>
    <t>Normalized Allowed Claims PMPM (to Experience Period)</t>
  </si>
  <si>
    <t>Unadjusted 12-Month Rolling Allowed Claims Trend</t>
  </si>
  <si>
    <t>Normalized 12-Month Rolling Allowed Claims Trend</t>
  </si>
  <si>
    <t>Table 3.2</t>
  </si>
  <si>
    <t>Plan Year</t>
  </si>
  <si>
    <t>Total Member Months</t>
  </si>
  <si>
    <t>Total Allowed Claims 
(as of 3/31/2025)</t>
  </si>
  <si>
    <t>-</t>
  </si>
  <si>
    <t>Total Ultimate Allowed Claims</t>
  </si>
  <si>
    <t>Total One-Time Adjustment for High Claims (Non-Predictive Claims)</t>
  </si>
  <si>
    <t>Total One-Time Adjustment for HCRP Receipts</t>
  </si>
  <si>
    <t>Total Non-EHB Allowed Claims</t>
  </si>
  <si>
    <t>Total Predictive Ultimate Allowed EHB Claims</t>
  </si>
  <si>
    <t>Total Predictive Ultimate Allowed EHB Claims PMPM</t>
  </si>
  <si>
    <t>DEVELOPMENT TESTING RANGE</t>
  </si>
  <si>
    <t>Trend Input</t>
  </si>
  <si>
    <t>Trend Randomness</t>
  </si>
  <si>
    <t>Base Trend Assumption</t>
  </si>
  <si>
    <t>Total Trend</t>
  </si>
  <si>
    <t>Blank2</t>
  </si>
  <si>
    <t>WA Exhibit 5: URRT Worksheet 1 (w1) EHB Pool-Level Adjustment Factors</t>
  </si>
  <si>
    <t>Table 1</t>
  </si>
  <si>
    <t>ACTUAL EXPERIENCE (A)</t>
  </si>
  <si>
    <t>PROJECTED
(i.e., EXPECTED; E)</t>
  </si>
  <si>
    <t>A:E</t>
  </si>
  <si>
    <t>Component</t>
  </si>
  <si>
    <t>URRT Worksheet 1</t>
  </si>
  <si>
    <t>Annualized Cost Trend Factor</t>
  </si>
  <si>
    <t>Annualized Utilization Trend Factor</t>
  </si>
  <si>
    <t>Other</t>
  </si>
  <si>
    <r>
      <rPr>
        <vertAlign val="superscript"/>
        <sz val="11"/>
        <color theme="1"/>
        <rFont val="Calibri"/>
        <family val="2"/>
        <scheme val="minor"/>
      </rPr>
      <t>1</t>
    </r>
    <r>
      <rPr>
        <sz val="11"/>
        <color theme="1"/>
        <rFont val="Calibri"/>
        <family val="2"/>
        <scheme val="minor"/>
      </rPr>
      <t xml:space="preserve"> Ratios for factors. Subtraction for percents.</t>
    </r>
  </si>
  <si>
    <t>WA Exhibit 6: URRT Worksheet 2 (w2) Actuarial Values by Plan</t>
  </si>
  <si>
    <t>Table 8.1</t>
  </si>
  <si>
    <t>Projections</t>
  </si>
  <si>
    <t>Difference of Pricing Value and Metal Value</t>
  </si>
  <si>
    <t>HIOS Plan ID</t>
  </si>
  <si>
    <t>AV Metal Value
2024</t>
  </si>
  <si>
    <t>AV Metal Value
2025</t>
  </si>
  <si>
    <t>AV Metal Value
2026</t>
  </si>
  <si>
    <t>AV Pricing Value
2024</t>
  </si>
  <si>
    <t>AV Pricing Value
2025</t>
  </si>
  <si>
    <t>AV Pricing Value
2026</t>
  </si>
  <si>
    <t>2024</t>
  </si>
  <si>
    <t>2025</t>
  </si>
  <si>
    <t>2026</t>
  </si>
  <si>
    <t>Overall AV Metal Value</t>
  </si>
  <si>
    <t>Overall AV Pricing Value</t>
  </si>
  <si>
    <t>WA Exhibit 7: URRT Worksheet 2 (w2) Plan Adjustment Factors, in Aggregate</t>
  </si>
  <si>
    <t>Table</t>
  </si>
  <si>
    <t>YEAR-TO-YEAR CHANGE
in PROJECTED AMOUNTS</t>
  </si>
  <si>
    <t>Paid-to-Allowed Ratio (All, Unadjusted)</t>
  </si>
  <si>
    <t>Paid-to-Allowed Ratio (Catastrophic, Unadjusted)</t>
  </si>
  <si>
    <t>Paid-to-Allowed Ratio (Bronze, Unadjusted)</t>
  </si>
  <si>
    <t>Paid-to-Allowed Ratio (Silver, Unadjusted)</t>
  </si>
  <si>
    <t>Paid-to-Allowed Ratio (Gold, Unadjusted)</t>
  </si>
  <si>
    <t>Paid-to-Allowed Ratio (Platinum, Unadjusted)</t>
  </si>
  <si>
    <t>AV and Cost Sharing Design of Plan Development Components</t>
  </si>
  <si>
    <t>AV Pricing Value</t>
  </si>
  <si>
    <t>CSR Silver Load</t>
  </si>
  <si>
    <t>Factor for cost of abortion services for which public funding is prohibited</t>
  </si>
  <si>
    <t>AV and Cost Sharing Design of Plan</t>
  </si>
  <si>
    <t>Benefits in Addition to EHB</t>
  </si>
  <si>
    <t>Catastrophic Adjustment</t>
  </si>
  <si>
    <t>WA Exhibit 8: CSR Related Experience</t>
  </si>
  <si>
    <t>Plan Year 2024 Actual Experience</t>
  </si>
  <si>
    <t>CSR Plan Variant</t>
  </si>
  <si>
    <t>2026 Plan Category
(New, Renewing, Terminated)</t>
  </si>
  <si>
    <t>CSR Silver Load (Projected)</t>
  </si>
  <si>
    <t>Paid Claims</t>
  </si>
  <si>
    <t>Paid-to-Allowed Ratio</t>
  </si>
  <si>
    <t>CSR Paid Claims</t>
  </si>
  <si>
    <t>CSR-Adjusted
Paid-to-Allowed
Ratio</t>
  </si>
  <si>
    <t>APTC Payments</t>
  </si>
  <si>
    <t>Net CSR Funds</t>
  </si>
  <si>
    <t>12345WA1234567</t>
  </si>
  <si>
    <t>12345WA1234568</t>
  </si>
  <si>
    <t>12345WA1234569</t>
  </si>
  <si>
    <t>WA Exhibit 9: URRT Worksheet 2 (w2) AV and Cost Sharing Design Factors</t>
  </si>
  <si>
    <t>Exchange Plan?</t>
  </si>
  <si>
    <t>Requesting Expanded AV Pricing Value Range</t>
  </si>
  <si>
    <t>AV Metal Value</t>
  </si>
  <si>
    <t>Induced Demand Factor
(IDF)</t>
  </si>
  <si>
    <t>Check
AV Pricing Value within 2% (or 3%)
of AV Metal Value</t>
  </si>
  <si>
    <t>Check 
Expected Risk Adjustment IDF</t>
  </si>
  <si>
    <t>Check
CSR Silver Load</t>
  </si>
  <si>
    <t>Yes</t>
  </si>
  <si>
    <t>WA Exhibit 10: Summarized Risk Adjustment (RA)</t>
  </si>
  <si>
    <t>Statewide Metal Plans</t>
  </si>
  <si>
    <t>Carrier</t>
  </si>
  <si>
    <t>Statewide Catastrophic Plans</t>
  </si>
  <si>
    <t>Total for Metal + Catastrophic</t>
  </si>
  <si>
    <t>Total for Metal Plans</t>
  </si>
  <si>
    <t>Cata-
strophic</t>
  </si>
  <si>
    <t>Total for Metal + catastrophic.</t>
  </si>
  <si>
    <t>Billable Member Months (MM)</t>
  </si>
  <si>
    <t>Actuarial Value (AV)</t>
  </si>
  <si>
    <t>Plan Liability Risk Score (PLRS)</t>
  </si>
  <si>
    <t>Allowable Rating Factor (ARF)</t>
  </si>
  <si>
    <t>Geographic Cost Factor (GCF)</t>
  </si>
  <si>
    <t>Statewide Average Premium (SWAP) PMPM</t>
  </si>
  <si>
    <t>Starting SWAP PMPM</t>
  </si>
  <si>
    <r>
      <t xml:space="preserve">Final SWAP PMPM </t>
    </r>
    <r>
      <rPr>
        <sz val="11"/>
        <color theme="0" tint="-0.499984740745262"/>
        <rFont val="Calibri"/>
        <family val="2"/>
        <scheme val="minor"/>
      </rPr>
      <t>(before 86% adjustment is applied)</t>
    </r>
  </si>
  <si>
    <t>Plan Liability Component approximation = PLRS * IDF * GCF</t>
  </si>
  <si>
    <t>Normalized PLRS * IDF * GCF (N1)</t>
  </si>
  <si>
    <t>Allowable Rating Component approximation = AV * ARF * IDF * GCF</t>
  </si>
  <si>
    <t>Normalized AV * PLRS * IDF * GCF (N2)</t>
  </si>
  <si>
    <t>Approximate Transfer PMPM (P * [N1 - N2] * 0.86)</t>
  </si>
  <si>
    <t>Approximate Aggregate Transfer (Transfer PMPM * MM)</t>
  </si>
  <si>
    <t>Aggregate Experience RA Transfer PMPM</t>
  </si>
  <si>
    <t>Aggregate Projected (Rate Development) RA Transfer PMPM</t>
  </si>
  <si>
    <t>Transfer PMPM Difference</t>
  </si>
  <si>
    <r>
      <t>HCRP assessment PMPM</t>
    </r>
    <r>
      <rPr>
        <sz val="11"/>
        <color theme="0" tint="-0.499984740745262"/>
        <rFont val="Calibri"/>
        <family val="2"/>
        <scheme val="minor"/>
      </rPr>
      <t xml:space="preserve"> (amounts should be negative)</t>
    </r>
  </si>
  <si>
    <r>
      <t>HCRP receipts PMPM</t>
    </r>
    <r>
      <rPr>
        <sz val="11"/>
        <color theme="0" tint="-0.499984740745262"/>
        <rFont val="Calibri"/>
        <family val="2"/>
        <scheme val="minor"/>
      </rPr>
      <t xml:space="preserve"> (amounts should be positive)</t>
    </r>
  </si>
  <si>
    <t>RADV adjustment PMPM, if applicable</t>
  </si>
  <si>
    <t>Final Risk Adjustment PMPM</t>
  </si>
  <si>
    <t>WA Exhibit 11: Retention / Administrative Costs</t>
  </si>
  <si>
    <t>PROJECTED (i.e., EXPECTED; E)</t>
  </si>
  <si>
    <t>YEAR-TO-YEAR SHIFTS
in PROJECTED AMOUNTS</t>
  </si>
  <si>
    <t>% of Premium</t>
  </si>
  <si>
    <t>PMPM</t>
  </si>
  <si>
    <t>Administrative Expenses</t>
  </si>
  <si>
    <t>Commissions</t>
  </si>
  <si>
    <t>Quality improvement</t>
  </si>
  <si>
    <t>Investment income credit (enter as a negative number)</t>
  </si>
  <si>
    <t>Commercial reinsurance premium</t>
  </si>
  <si>
    <t>Other administrative expenses</t>
  </si>
  <si>
    <t>Total administrative expenses</t>
  </si>
  <si>
    <t>Premium tax</t>
  </si>
  <si>
    <t>Federal income tax</t>
  </si>
  <si>
    <t>WA OIC regulatory surcharge</t>
  </si>
  <si>
    <t>WA OIC fraud surcharge</t>
  </si>
  <si>
    <t>Risk adjustment user fee</t>
  </si>
  <si>
    <t>PCORI fee</t>
  </si>
  <si>
    <t>Mitigating inequity fee</t>
  </si>
  <si>
    <t>WSHIP assessment</t>
  </si>
  <si>
    <t>WAPAL assessment</t>
  </si>
  <si>
    <t>Profit &amp; Risk Load</t>
  </si>
  <si>
    <r>
      <rPr>
        <b/>
        <sz val="11"/>
        <color rgb="FF000000"/>
        <rFont val="Calibri"/>
        <family val="2"/>
        <scheme val="minor"/>
      </rPr>
      <t xml:space="preserve">Total Retention </t>
    </r>
    <r>
      <rPr>
        <b/>
        <sz val="9"/>
        <color rgb="FF000000"/>
        <rFont val="Calibri"/>
        <family val="2"/>
        <scheme val="minor"/>
      </rPr>
      <t>(excluding Exchange Fee)</t>
    </r>
  </si>
  <si>
    <t>Exchange User Fee *</t>
  </si>
  <si>
    <r>
      <rPr>
        <b/>
        <sz val="11"/>
        <color rgb="FF000000"/>
        <rFont val="Calibri"/>
        <family val="2"/>
      </rPr>
      <t xml:space="preserve">Total Retention </t>
    </r>
    <r>
      <rPr>
        <b/>
        <sz val="9"/>
        <color rgb="FF000000"/>
        <rFont val="Calibri"/>
        <family val="2"/>
      </rPr>
      <t>(including Exchange Fee)</t>
    </r>
  </si>
  <si>
    <t>Projected Required Premium PMPM</t>
  </si>
  <si>
    <t>* Exchange User Fee on incurred claim basis (not on allowed claim basis like what is on URRT worksheet 1)</t>
  </si>
  <si>
    <t>WA Exhibit 12: URRT Worksheet 2 (w2) Projections, Reconciliation</t>
  </si>
  <si>
    <t>Aggregate Projected Administrative Costs</t>
  </si>
  <si>
    <t>3.6 Administrative Expense</t>
  </si>
  <si>
    <t>3.7 Taxes and Fees</t>
  </si>
  <si>
    <t>3.8 Profit &amp; Risk Load</t>
  </si>
  <si>
    <t>Total Retention (excluding Exchange Fee)</t>
  </si>
  <si>
    <t>Aggregate Projected Amounts PMPM</t>
  </si>
  <si>
    <t>Exchange user fee</t>
  </si>
  <si>
    <t>4.15 Incurred Claims</t>
  </si>
  <si>
    <t>4.16 Risk Adjustment Transfer Amount</t>
  </si>
  <si>
    <t>4.17 Premium</t>
  </si>
  <si>
    <t>A. (Premium) + (Risk Adjustment Transfer Amount)</t>
  </si>
  <si>
    <t>B. (Incurred Claims) + (Admin, Taxes &amp; Fees) + (Profit &amp; Risk Load) + (Exchange User Fee)</t>
  </si>
  <si>
    <t>C. Difference = A - B (should be $0)</t>
  </si>
  <si>
    <r>
      <t xml:space="preserve">Example sheets are provided for reference only. These sheets are colored gray and </t>
    </r>
    <r>
      <rPr>
        <b/>
        <sz val="11"/>
        <color theme="1"/>
        <rFont val="Calibri"/>
        <family val="2"/>
        <scheme val="minor"/>
      </rPr>
      <t>must be deleted</t>
    </r>
    <r>
      <rPr>
        <sz val="11"/>
        <color theme="1"/>
        <rFont val="Calibri"/>
        <family val="2"/>
        <scheme val="minor"/>
      </rPr>
      <t xml:space="preserve"> from the workbook prior to submission to avoid confusion during the review process.</t>
    </r>
  </si>
  <si>
    <t>Many template sheets refer to "actual" results, typically relating to experience in a prior period. This term may refer to raw observed data, adjusted experience, or best-estimate results derived using actuarial methods or models. Adjustments may involve normalization, credibility weighting, pooling, or consideration of unusual events or emerging trends.</t>
  </si>
  <si>
    <t>Each template sheet in this workbook must be completed; these sheets are colored green at the bottom of the Excel window. Sheet-specific instructions are provided in the orange box in the upper-right of each sheet. The rate filing checklist includes additional information that may help complete these templates.</t>
  </si>
  <si>
    <t>Cells formatted with a yellow background are intended for user inputs. Please enter information only in these cells, unless otherwise specified.</t>
  </si>
  <si>
    <r>
      <t xml:space="preserve">At the bottom of each template sheet, there is a Comments section. Use this space to provide clarifying notes or explanations for the information entered on that sheet. Alternatively, if you require more space, you can use this section to point to an external document that includes this support. </t>
    </r>
    <r>
      <rPr>
        <b/>
        <i/>
        <sz val="11"/>
        <color theme="1"/>
        <rFont val="Calibri"/>
        <family val="2"/>
        <scheme val="minor"/>
      </rPr>
      <t>This is particularly important for communicating any assumptions, methodologies, or deviations that are not apparent from the sheet-specific instructions.</t>
    </r>
  </si>
  <si>
    <t>If raw or minimally-adjusted data are not available or sufficient, estimated actual results are acceptable. Use the following hierarchy when determining which results to report:
1. Raw data, when available.
2. Minimally-adjusted data.
3. Best-estimate data.</t>
  </si>
  <si>
    <t>Unless otherwise specified by the template’s instructions or definitions, we will assume the data reflects raw results. If adjusted or estimated results are reported, clearly document the assumptions, methods, models, and rationale in the sheet’s Comments section. If there are material dependencies or interactions with other values, also describe those relationships and the order of estimation. Such transparency supports accurate interpretation and appropriate reliance on the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</si>
</sst>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8" formatCode="&quot;$&quot;#,##0.00_);[Red]\(&quot;$&quot;#,##0.00\)"/>
    <numFmt numFmtId="41" formatCode="_(* #,##0_);_(* \(#,##0\);_(* &quot;-&quot;_);_(@_)"/>
    <numFmt numFmtId="43" formatCode="_(* #,##0.00_);_(* \(#,##0.00\);_(* &quot;-&quot;??_);_(@_)"/>
    <numFmt numFmtId="164" formatCode="0.0%"/>
    <numFmt numFmtId="165" formatCode="_(* #,##0_);_(* \(#,##0\);_(* &quot;-&quot;??_);_(@_)"/>
    <numFmt numFmtId="166" formatCode="&quot;$&quot;#,##0.00"/>
    <numFmt numFmtId="167" formatCode="0.000"/>
    <numFmt numFmtId="168" formatCode="0.000%"/>
    <numFmt numFmtId="169" formatCode="0.0000%"/>
    <numFmt numFmtId="170" formatCode="#,##0.000"/>
    <numFmt numFmtId="171" formatCode="_(* #,##0.000_);_(* \(#,##0.000\);_(* &quot;-&quot;??_);_(@_)"/>
    <numFmt numFmtId="172" formatCode="_(* #,##0.0000_);_(* \(#,##0.0000\);_(* &quot;-&quot;??_);_(@_)"/>
    <numFmt numFmtId="173" formatCode="0.000000000000000%"/>
    <numFmt numFmtId="174" formatCode="&quot;$&quot;#,##0"/>
    <numFmt numFmtId="175" formatCode="0.0000"/>
    <numFmt numFmtId="176" formatCode="&quot;$&quot;#,##0_);[Red]\(&quot;$&quot;#,##0\);\-"/>
    <numFmt numFmtId="177" formatCode="&quot;$&quot;#,##0.00_);[Red]\(&quot;$&quot;#,##0.00\);\-"/>
    <numFmt numFmtId="178" formatCode="#,##0.0000"/>
    <numFmt numFmtId="179" formatCode="_(* #,##0.0000_);_(* \(#,##0.0000\);_(* &quot;-&quot;????_);_(@_)"/>
  </numFmts>
  <fonts count="4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b/>
      <sz val="11"/>
      <color theme="1"/>
      <name val="Calibri"/>
      <family val="2"/>
      <scheme val="minor"/>
    </font>
    <font>
      <sz val="11"/>
      <name val="Calibri"/>
      <family val="2"/>
      <scheme val="minor"/>
    </font>
    <font>
      <b/>
      <sz val="11"/>
      <name val="Calibri"/>
      <family val="2"/>
      <scheme val="minor"/>
    </font>
    <font>
      <b/>
      <sz val="13"/>
      <color theme="3"/>
      <name val="Calibri"/>
      <family val="2"/>
      <scheme val="minor"/>
    </font>
    <font>
      <b/>
      <sz val="11"/>
      <color rgb="FF000000"/>
      <name val="Calibri"/>
      <family val="2"/>
      <scheme val="minor"/>
    </font>
    <font>
      <b/>
      <sz val="9"/>
      <color rgb="FF000000"/>
      <name val="Calibri"/>
      <family val="2"/>
      <scheme val="minor"/>
    </font>
    <font>
      <b/>
      <sz val="11"/>
      <color rgb="FF000000"/>
      <name val="Calibri"/>
      <family val="2"/>
    </font>
    <font>
      <b/>
      <sz val="9"/>
      <color rgb="FF000000"/>
      <name val="Calibri"/>
      <family val="2"/>
    </font>
    <font>
      <b/>
      <u/>
      <sz val="14"/>
      <color theme="1"/>
      <name val="Calibri"/>
      <family val="2"/>
      <scheme val="minor"/>
    </font>
    <font>
      <vertAlign val="superscript"/>
      <sz val="11"/>
      <color theme="1"/>
      <name val="Calibri"/>
      <family val="2"/>
      <scheme val="minor"/>
    </font>
    <font>
      <b/>
      <sz val="11"/>
      <color rgb="FF3F3F3F"/>
      <name val="Calibri"/>
      <family val="2"/>
      <scheme val="minor"/>
    </font>
    <font>
      <b/>
      <sz val="12"/>
      <name val="Calibri"/>
      <family val="2"/>
      <scheme val="minor"/>
    </font>
    <font>
      <sz val="20"/>
      <color theme="3"/>
      <name val="Calibri Light"/>
      <family val="2"/>
      <scheme val="major"/>
    </font>
    <font>
      <b/>
      <sz val="12"/>
      <color theme="1"/>
      <name val="Calibri"/>
      <family val="2"/>
      <scheme val="minor"/>
    </font>
    <font>
      <b/>
      <sz val="16"/>
      <color theme="1"/>
      <name val="Calibri"/>
      <family val="2"/>
      <scheme val="minor"/>
    </font>
    <font>
      <sz val="12"/>
      <name val="Calibri"/>
      <family val="2"/>
      <scheme val="minor"/>
    </font>
    <font>
      <sz val="12"/>
      <color theme="1"/>
      <name val="Calibri"/>
      <family val="2"/>
      <scheme val="minor"/>
    </font>
    <font>
      <b/>
      <i/>
      <sz val="12"/>
      <color theme="1"/>
      <name val="Calibri"/>
      <family val="2"/>
      <scheme val="minor"/>
    </font>
    <font>
      <b/>
      <sz val="14"/>
      <color theme="3"/>
      <name val="Calibri Light"/>
      <family val="2"/>
      <scheme val="major"/>
    </font>
    <font>
      <sz val="12"/>
      <color rgb="FF3F3F76"/>
      <name val="Calibri"/>
      <family val="2"/>
      <scheme val="minor"/>
    </font>
    <font>
      <b/>
      <sz val="16"/>
      <color theme="3"/>
      <name val="Calibri"/>
      <family val="2"/>
      <scheme val="minor"/>
    </font>
    <font>
      <sz val="16"/>
      <color theme="1"/>
      <name val="Calibri"/>
      <family val="2"/>
      <scheme val="minor"/>
    </font>
    <font>
      <sz val="11"/>
      <color theme="0" tint="-0.499984740745262"/>
      <name val="Calibri"/>
      <family val="2"/>
      <scheme val="minor"/>
    </font>
    <font>
      <sz val="11"/>
      <color theme="3"/>
      <name val="Calibri Light"/>
      <family val="2"/>
      <scheme val="major"/>
    </font>
    <font>
      <b/>
      <sz val="11"/>
      <color theme="3"/>
      <name val="Calibri Light"/>
      <family val="2"/>
      <scheme val="major"/>
    </font>
    <font>
      <b/>
      <sz val="12"/>
      <color theme="0"/>
      <name val="Calibri"/>
      <family val="2"/>
      <scheme val="minor"/>
    </font>
    <font>
      <b/>
      <sz val="16"/>
      <color theme="3"/>
      <name val="Calibri Light"/>
      <family val="2"/>
      <scheme val="major"/>
    </font>
    <font>
      <sz val="16"/>
      <color rgb="FF3F3F76"/>
      <name val="Calibri"/>
      <family val="2"/>
      <scheme val="minor"/>
    </font>
    <font>
      <b/>
      <sz val="16"/>
      <color rgb="FF3F3F3F"/>
      <name val="Calibri"/>
      <family val="2"/>
      <scheme val="minor"/>
    </font>
    <font>
      <sz val="16"/>
      <color rgb="FF3F3F3F"/>
      <name val="Calibri"/>
      <family val="2"/>
      <scheme val="minor"/>
    </font>
    <font>
      <sz val="9"/>
      <color theme="0" tint="-0.34998626667073579"/>
      <name val="Calibri"/>
      <family val="2"/>
      <scheme val="minor"/>
    </font>
    <font>
      <sz val="8"/>
      <name val="Calibri"/>
      <family val="2"/>
      <scheme val="minor"/>
    </font>
    <font>
      <sz val="9"/>
      <color theme="1"/>
      <name val="Calibri"/>
      <family val="2"/>
      <scheme val="minor"/>
    </font>
    <font>
      <b/>
      <sz val="16"/>
      <color rgb="FFFF0000"/>
      <name val="Calibri Light"/>
      <family val="2"/>
      <scheme val="major"/>
    </font>
    <font>
      <sz val="11"/>
      <color theme="1"/>
      <name val="Aptos"/>
      <family val="2"/>
    </font>
    <font>
      <b/>
      <sz val="11"/>
      <color theme="0"/>
      <name val="Calibri"/>
      <family val="2"/>
      <scheme val="minor"/>
    </font>
    <font>
      <b/>
      <sz val="9"/>
      <color rgb="FFC00000"/>
      <name val="Calibri"/>
      <family val="2"/>
      <scheme val="minor"/>
    </font>
    <font>
      <sz val="12"/>
      <color theme="0" tint="-0.34998626667073579"/>
      <name val="Calibri"/>
      <family val="2"/>
      <scheme val="minor"/>
    </font>
    <font>
      <sz val="12"/>
      <color indexed="8"/>
      <name val="Calibri"/>
      <family val="2"/>
    </font>
    <font>
      <b/>
      <sz val="12"/>
      <color theme="3"/>
      <name val="Calibri Light"/>
      <family val="2"/>
      <scheme val="major"/>
    </font>
    <font>
      <b/>
      <sz val="18"/>
      <color theme="3"/>
      <name val="Calibri Light"/>
      <family val="2"/>
      <scheme val="major"/>
    </font>
    <font>
      <b/>
      <i/>
      <sz val="11"/>
      <color theme="1"/>
      <name val="Calibri"/>
      <family val="2"/>
      <scheme val="minor"/>
    </font>
  </fonts>
  <fills count="24">
    <fill>
      <patternFill patternType="none"/>
    </fill>
    <fill>
      <patternFill patternType="gray125"/>
    </fill>
    <fill>
      <patternFill patternType="solid">
        <fgColor rgb="FFFFCC99"/>
      </patternFill>
    </fill>
    <fill>
      <patternFill patternType="solid">
        <fgColor indexed="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B7DCFA"/>
        <bgColor indexed="64"/>
      </patternFill>
    </fill>
    <fill>
      <patternFill patternType="solid">
        <fgColor theme="7" tint="0.79998168889431442"/>
        <bgColor indexed="64"/>
      </patternFill>
    </fill>
    <fill>
      <patternFill patternType="solid">
        <fgColor rgb="FFF2F2F2"/>
      </patternFill>
    </fill>
    <fill>
      <patternFill patternType="solid">
        <fgColor theme="4" tint="0.59999389629810485"/>
        <bgColor indexed="64"/>
      </patternFill>
    </fill>
    <fill>
      <patternFill patternType="solid">
        <fgColor rgb="FFF2F2F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0" tint="-4.9989318521683403E-2"/>
        <bgColor theme="4"/>
      </patternFill>
    </fill>
    <fill>
      <patternFill patternType="solid">
        <fgColor theme="7" tint="0.59999389629810485"/>
        <bgColor indexed="64"/>
      </patternFill>
    </fill>
    <fill>
      <patternFill patternType="solid">
        <fgColor theme="4"/>
        <bgColor theme="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7" tint="0.79998168889431442"/>
        <bgColor theme="7" tint="0.79998168889431442"/>
      </patternFill>
    </fill>
    <fill>
      <patternFill patternType="solid">
        <fgColor theme="0" tint="-0.499984740745262"/>
        <bgColor theme="4"/>
      </patternFill>
    </fill>
    <fill>
      <patternFill patternType="solid">
        <fgColor theme="7" tint="0.79998168889431442"/>
        <bgColor theme="4" tint="0.79998168889431442"/>
      </patternFill>
    </fill>
    <fill>
      <patternFill patternType="solid">
        <fgColor theme="4" tint="0.39997558519241921"/>
        <bgColor indexed="64"/>
      </patternFill>
    </fill>
  </fills>
  <borders count="90">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ck">
        <color theme="4" tint="0.499984740745262"/>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auto="1"/>
      </bottom>
      <diagonal/>
    </border>
    <border>
      <left/>
      <right style="hair">
        <color indexed="64"/>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auto="1"/>
      </bottom>
      <diagonal/>
    </border>
    <border>
      <left/>
      <right style="thin">
        <color indexed="64"/>
      </right>
      <top/>
      <bottom style="thin">
        <color auto="1"/>
      </bottom>
      <diagonal/>
    </border>
    <border>
      <left style="thin">
        <color indexed="64"/>
      </left>
      <right style="thin">
        <color indexed="64"/>
      </right>
      <top/>
      <bottom/>
      <diagonal/>
    </border>
    <border>
      <left/>
      <right/>
      <top/>
      <bottom style="thin">
        <color rgb="FF000000"/>
      </bottom>
      <diagonal/>
    </border>
    <border>
      <left style="thin">
        <color indexed="64"/>
      </left>
      <right/>
      <top/>
      <bottom style="thin">
        <color rgb="FF000000"/>
      </bottom>
      <diagonal/>
    </border>
    <border>
      <left style="hair">
        <color indexed="64"/>
      </left>
      <right/>
      <top/>
      <bottom style="thin">
        <color rgb="FF000000"/>
      </bottom>
      <diagonal/>
    </border>
    <border>
      <left/>
      <right style="hair">
        <color indexed="64"/>
      </right>
      <top/>
      <bottom style="thin">
        <color rgb="FF000000"/>
      </bottom>
      <diagonal/>
    </border>
    <border>
      <left/>
      <right style="thin">
        <color indexed="64"/>
      </right>
      <top/>
      <bottom style="thin">
        <color rgb="FF000000"/>
      </bottom>
      <diagonal/>
    </border>
    <border>
      <left/>
      <right/>
      <top/>
      <bottom style="thin">
        <color theme="0" tint="-0.2499465926084170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hair">
        <color auto="1"/>
      </bottom>
      <diagonal/>
    </border>
    <border>
      <left style="hair">
        <color indexed="64"/>
      </left>
      <right/>
      <top/>
      <bottom style="hair">
        <color auto="1"/>
      </bottom>
      <diagonal/>
    </border>
    <border>
      <left/>
      <right style="hair">
        <color indexed="64"/>
      </right>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hair">
        <color indexed="64"/>
      </left>
      <right/>
      <top/>
      <bottom style="thin">
        <color theme="0" tint="-0.24994659260841701"/>
      </bottom>
      <diagonal/>
    </border>
    <border>
      <left/>
      <right style="hair">
        <color indexed="64"/>
      </right>
      <top/>
      <bottom style="thin">
        <color theme="0" tint="-0.24994659260841701"/>
      </bottom>
      <diagonal/>
    </border>
    <border>
      <left style="hair">
        <color indexed="64"/>
      </left>
      <right style="hair">
        <color indexed="64"/>
      </right>
      <top/>
      <bottom style="thin">
        <color theme="0" tint="-0.24994659260841701"/>
      </bottom>
      <diagonal/>
    </border>
    <border>
      <left style="hair">
        <color indexed="64"/>
      </left>
      <right style="hair">
        <color indexed="64"/>
      </right>
      <top/>
      <bottom style="thin">
        <color auto="1"/>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indexed="64"/>
      </right>
      <top style="hair">
        <color indexed="64"/>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auto="1"/>
      </top>
      <bottom style="hair">
        <color indexed="64"/>
      </bottom>
      <diagonal/>
    </border>
    <border>
      <left style="hair">
        <color indexed="64"/>
      </left>
      <right/>
      <top style="hair">
        <color auto="1"/>
      </top>
      <bottom style="hair">
        <color indexed="64"/>
      </bottom>
      <diagonal/>
    </border>
    <border>
      <left/>
      <right/>
      <top style="hair">
        <color auto="1"/>
      </top>
      <bottom style="hair">
        <color indexed="64"/>
      </bottom>
      <diagonal/>
    </border>
    <border>
      <left/>
      <right style="hair">
        <color indexed="64"/>
      </right>
      <top style="hair">
        <color auto="1"/>
      </top>
      <bottom style="hair">
        <color indexed="64"/>
      </bottom>
      <diagonal/>
    </border>
    <border>
      <left style="thin">
        <color theme="7" tint="0.39997558519241921"/>
      </left>
      <right/>
      <top style="thin">
        <color theme="7" tint="0.39997558519241921"/>
      </top>
      <bottom/>
      <diagonal/>
    </border>
    <border>
      <left/>
      <right/>
      <top style="thin">
        <color theme="7" tint="0.39997558519241921"/>
      </top>
      <bottom/>
      <diagonal/>
    </border>
    <border>
      <left/>
      <right style="thin">
        <color theme="7" tint="0.39997558519241921"/>
      </right>
      <top style="thin">
        <color theme="7" tint="0.39997558519241921"/>
      </top>
      <bottom/>
      <diagonal/>
    </border>
    <border>
      <left style="thin">
        <color theme="7" tint="0.39997558519241921"/>
      </left>
      <right/>
      <top/>
      <bottom/>
      <diagonal/>
    </border>
    <border>
      <left/>
      <right style="thin">
        <color theme="7" tint="0.39997558519241921"/>
      </right>
      <top/>
      <bottom/>
      <diagonal/>
    </border>
    <border>
      <left style="hair">
        <color indexed="64"/>
      </left>
      <right style="hair">
        <color indexed="64"/>
      </right>
      <top style="hair">
        <color auto="1"/>
      </top>
      <bottom/>
      <diagonal/>
    </border>
    <border>
      <left style="hair">
        <color indexed="64"/>
      </left>
      <right/>
      <top style="hair">
        <color auto="1"/>
      </top>
      <bottom/>
      <diagonal/>
    </border>
    <border>
      <left/>
      <right/>
      <top style="hair">
        <color auto="1"/>
      </top>
      <bottom/>
      <diagonal/>
    </border>
    <border>
      <left/>
      <right style="hair">
        <color indexed="64"/>
      </right>
      <top style="hair">
        <color auto="1"/>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0" fontId="8" fillId="0" borderId="7" applyNumberFormat="0" applyFill="0" applyAlignment="0" applyProtection="0"/>
    <xf numFmtId="0" fontId="15" fillId="10" borderId="53" applyNumberFormat="0" applyAlignment="0" applyProtection="0"/>
  </cellStyleXfs>
  <cellXfs count="636">
    <xf numFmtId="0" fontId="0" fillId="0" borderId="0" xfId="0"/>
    <xf numFmtId="0" fontId="0" fillId="0" borderId="0" xfId="0" applyAlignment="1">
      <alignment horizontal="right"/>
    </xf>
    <xf numFmtId="9" fontId="0" fillId="0" borderId="3" xfId="2" applyFont="1" applyBorder="1"/>
    <xf numFmtId="10" fontId="0" fillId="0" borderId="3" xfId="2" applyNumberFormat="1" applyFont="1" applyBorder="1"/>
    <xf numFmtId="0" fontId="3" fillId="0" borderId="1" xfId="4"/>
    <xf numFmtId="0" fontId="8" fillId="0" borderId="7" xfId="6"/>
    <xf numFmtId="2" fontId="0" fillId="0" borderId="0" xfId="0" applyNumberFormat="1"/>
    <xf numFmtId="0" fontId="0" fillId="0" borderId="0" xfId="0" applyAlignment="1">
      <alignment horizontal="left" indent="1"/>
    </xf>
    <xf numFmtId="0" fontId="0" fillId="0" borderId="0" xfId="0" applyAlignment="1">
      <alignment horizontal="left" indent="2"/>
    </xf>
    <xf numFmtId="0" fontId="0" fillId="0" borderId="11" xfId="0" applyBorder="1" applyAlignment="1">
      <alignment horizontal="left" indent="2"/>
    </xf>
    <xf numFmtId="10" fontId="0" fillId="0" borderId="12" xfId="2" applyNumberFormat="1" applyFont="1" applyBorder="1"/>
    <xf numFmtId="8" fontId="0" fillId="0" borderId="13" xfId="0" applyNumberFormat="1" applyBorder="1"/>
    <xf numFmtId="10" fontId="0" fillId="0" borderId="13" xfId="2" applyNumberFormat="1" applyFont="1" applyBorder="1"/>
    <xf numFmtId="8" fontId="0" fillId="0" borderId="14" xfId="0" applyNumberFormat="1" applyBorder="1"/>
    <xf numFmtId="10" fontId="0" fillId="0" borderId="0" xfId="2" applyNumberFormat="1" applyFont="1" applyBorder="1"/>
    <xf numFmtId="8" fontId="0" fillId="0" borderId="0" xfId="0" applyNumberFormat="1"/>
    <xf numFmtId="10" fontId="0" fillId="0" borderId="19" xfId="2" applyNumberFormat="1" applyFont="1" applyBorder="1"/>
    <xf numFmtId="8" fontId="0" fillId="0" borderId="20" xfId="0" applyNumberFormat="1" applyBorder="1"/>
    <xf numFmtId="8" fontId="0" fillId="0" borderId="21" xfId="0" applyNumberFormat="1" applyBorder="1"/>
    <xf numFmtId="0" fontId="6" fillId="8" borderId="3" xfId="0" applyFont="1" applyFill="1" applyBorder="1" applyAlignment="1">
      <alignment horizontal="centerContinuous" wrapText="1"/>
    </xf>
    <xf numFmtId="0" fontId="6" fillId="8" borderId="3" xfId="0" applyFont="1" applyFill="1" applyBorder="1"/>
    <xf numFmtId="0" fontId="6" fillId="8" borderId="3" xfId="0" applyFont="1" applyFill="1" applyBorder="1" applyAlignment="1">
      <alignment horizontal="center" wrapText="1"/>
    </xf>
    <xf numFmtId="164" fontId="0" fillId="6" borderId="3" xfId="2" applyNumberFormat="1" applyFont="1" applyFill="1" applyBorder="1" applyAlignment="1" applyProtection="1">
      <alignment horizontal="center"/>
    </xf>
    <xf numFmtId="41" fontId="0" fillId="0" borderId="3" xfId="1" applyNumberFormat="1" applyFont="1" applyFill="1" applyBorder="1" applyAlignment="1" applyProtection="1">
      <alignment horizontal="center"/>
    </xf>
    <xf numFmtId="170" fontId="0" fillId="0" borderId="10" xfId="2" applyNumberFormat="1" applyFont="1" applyFill="1" applyBorder="1" applyAlignment="1" applyProtection="1">
      <alignment horizontal="center"/>
      <protection locked="0"/>
    </xf>
    <xf numFmtId="170" fontId="0" fillId="0" borderId="24" xfId="2" applyNumberFormat="1" applyFont="1" applyFill="1" applyBorder="1" applyAlignment="1" applyProtection="1">
      <alignment horizontal="center"/>
      <protection locked="0"/>
    </xf>
    <xf numFmtId="170" fontId="0" fillId="0" borderId="5" xfId="2" applyNumberFormat="1" applyFont="1" applyFill="1" applyBorder="1" applyAlignment="1" applyProtection="1">
      <alignment horizontal="center"/>
      <protection locked="0"/>
    </xf>
    <xf numFmtId="167" fontId="0" fillId="6" borderId="5" xfId="2" applyNumberFormat="1" applyFont="1" applyFill="1" applyBorder="1" applyAlignment="1" applyProtection="1">
      <alignment horizontal="center"/>
    </xf>
    <xf numFmtId="167" fontId="0" fillId="0" borderId="10" xfId="2" applyNumberFormat="1" applyFont="1" applyFill="1" applyBorder="1" applyAlignment="1" applyProtection="1">
      <alignment horizontal="center"/>
    </xf>
    <xf numFmtId="167" fontId="0" fillId="0" borderId="5" xfId="2" applyNumberFormat="1" applyFont="1" applyFill="1" applyBorder="1" applyAlignment="1" applyProtection="1">
      <alignment horizontal="center"/>
    </xf>
    <xf numFmtId="164" fontId="0" fillId="6" borderId="10" xfId="2" applyNumberFormat="1" applyFont="1" applyFill="1" applyBorder="1" applyAlignment="1" applyProtection="1">
      <alignment horizontal="center"/>
    </xf>
    <xf numFmtId="164" fontId="1" fillId="6" borderId="5" xfId="2" applyNumberFormat="1" applyFont="1" applyFill="1" applyBorder="1" applyAlignment="1" applyProtection="1">
      <alignment horizontal="center"/>
    </xf>
    <xf numFmtId="166" fontId="0" fillId="0" borderId="5" xfId="2" applyNumberFormat="1" applyFont="1" applyFill="1" applyBorder="1" applyAlignment="1" applyProtection="1">
      <alignment horizontal="center"/>
    </xf>
    <xf numFmtId="164" fontId="0" fillId="6" borderId="5" xfId="2" applyNumberFormat="1" applyFont="1" applyFill="1" applyBorder="1" applyAlignment="1" applyProtection="1">
      <alignment horizontal="center"/>
    </xf>
    <xf numFmtId="167" fontId="0" fillId="0" borderId="0" xfId="0" applyNumberFormat="1"/>
    <xf numFmtId="8" fontId="0" fillId="0" borderId="10" xfId="2" applyNumberFormat="1" applyFont="1" applyFill="1" applyBorder="1" applyAlignment="1" applyProtection="1">
      <alignment horizontal="center"/>
    </xf>
    <xf numFmtId="6" fontId="1" fillId="0" borderId="5" xfId="2" applyNumberFormat="1" applyFont="1" applyFill="1" applyBorder="1" applyAlignment="1" applyProtection="1">
      <alignment horizontal="center"/>
    </xf>
    <xf numFmtId="8" fontId="5" fillId="0" borderId="10" xfId="2" applyNumberFormat="1" applyFont="1" applyFill="1" applyBorder="1" applyAlignment="1" applyProtection="1">
      <alignment horizontal="center"/>
    </xf>
    <xf numFmtId="6" fontId="5" fillId="0" borderId="5" xfId="2" applyNumberFormat="1" applyFont="1" applyFill="1" applyBorder="1" applyAlignment="1" applyProtection="1">
      <alignment horizontal="center"/>
    </xf>
    <xf numFmtId="0" fontId="5" fillId="0" borderId="0" xfId="0" applyFont="1" applyAlignment="1">
      <alignment horizontal="left" indent="2"/>
    </xf>
    <xf numFmtId="0" fontId="9" fillId="0" borderId="0" xfId="0" applyFont="1"/>
    <xf numFmtId="0" fontId="11" fillId="0" borderId="0" xfId="0" applyFont="1"/>
    <xf numFmtId="0" fontId="0" fillId="0" borderId="25" xfId="0" applyBorder="1"/>
    <xf numFmtId="0" fontId="7" fillId="8" borderId="3" xfId="0" applyFont="1" applyFill="1" applyBorder="1" applyAlignment="1">
      <alignment horizontal="centerContinuous"/>
    </xf>
    <xf numFmtId="10" fontId="0" fillId="0" borderId="0" xfId="2" applyNumberFormat="1" applyFont="1" applyFill="1" applyBorder="1"/>
    <xf numFmtId="8" fontId="0" fillId="0" borderId="11" xfId="0" applyNumberFormat="1" applyBorder="1"/>
    <xf numFmtId="0" fontId="0" fillId="0" borderId="11" xfId="0" applyBorder="1"/>
    <xf numFmtId="166" fontId="0" fillId="0" borderId="10" xfId="2" applyNumberFormat="1" applyFont="1" applyFill="1" applyBorder="1" applyAlignment="1" applyProtection="1">
      <alignment horizontal="center"/>
    </xf>
    <xf numFmtId="166" fontId="0" fillId="0" borderId="3" xfId="2" applyNumberFormat="1" applyFont="1" applyFill="1" applyBorder="1" applyAlignment="1" applyProtection="1">
      <alignment horizontal="center"/>
    </xf>
    <xf numFmtId="170" fontId="0" fillId="6" borderId="24" xfId="2" applyNumberFormat="1" applyFont="1" applyFill="1" applyBorder="1" applyAlignment="1" applyProtection="1">
      <alignment horizontal="center"/>
      <protection locked="0"/>
    </xf>
    <xf numFmtId="0" fontId="13" fillId="0" borderId="0" xfId="0" applyFont="1"/>
    <xf numFmtId="0" fontId="6" fillId="8" borderId="3" xfId="0" applyFont="1" applyFill="1" applyBorder="1" applyAlignment="1">
      <alignment horizontal="left" wrapText="1"/>
    </xf>
    <xf numFmtId="0" fontId="6" fillId="8" borderId="10" xfId="0" applyFont="1" applyFill="1" applyBorder="1" applyAlignment="1">
      <alignment horizontal="left" wrapText="1"/>
    </xf>
    <xf numFmtId="0" fontId="0" fillId="0" borderId="3" xfId="0" applyBorder="1" applyAlignment="1">
      <alignment horizontal="left"/>
    </xf>
    <xf numFmtId="0" fontId="0" fillId="0" borderId="10" xfId="0" applyBorder="1" applyAlignment="1">
      <alignment horizontal="left"/>
    </xf>
    <xf numFmtId="0" fontId="0" fillId="0" borderId="24" xfId="0" applyBorder="1" applyAlignment="1">
      <alignment horizontal="left"/>
    </xf>
    <xf numFmtId="0" fontId="0" fillId="0" borderId="5" xfId="0" applyBorder="1" applyAlignment="1">
      <alignment horizontal="left"/>
    </xf>
    <xf numFmtId="0" fontId="0" fillId="0" borderId="0" xfId="0" applyAlignment="1">
      <alignment horizontal="left"/>
    </xf>
    <xf numFmtId="0" fontId="0" fillId="6" borderId="24" xfId="0" applyFill="1" applyBorder="1" applyAlignment="1">
      <alignment horizontal="left"/>
    </xf>
    <xf numFmtId="0" fontId="7" fillId="8" borderId="3" xfId="0" applyFont="1" applyFill="1" applyBorder="1" applyAlignment="1">
      <alignment horizontal="centerContinuous" wrapText="1"/>
    </xf>
    <xf numFmtId="43" fontId="0" fillId="0" borderId="0" xfId="1" applyFont="1"/>
    <xf numFmtId="0" fontId="0" fillId="0" borderId="47" xfId="0" applyBorder="1"/>
    <xf numFmtId="0" fontId="5" fillId="0" borderId="48" xfId="0" applyFont="1" applyBorder="1"/>
    <xf numFmtId="0" fontId="0" fillId="0" borderId="49" xfId="0" applyBorder="1"/>
    <xf numFmtId="9" fontId="0" fillId="0" borderId="13" xfId="0" applyNumberFormat="1" applyBorder="1"/>
    <xf numFmtId="9" fontId="0" fillId="0" borderId="11" xfId="0" applyNumberFormat="1" applyBorder="1"/>
    <xf numFmtId="9" fontId="0" fillId="0" borderId="33" xfId="0" applyNumberFormat="1" applyBorder="1"/>
    <xf numFmtId="0" fontId="5" fillId="7" borderId="0" xfId="0" applyFont="1" applyFill="1" applyAlignment="1">
      <alignment horizontal="left"/>
    </xf>
    <xf numFmtId="0" fontId="5" fillId="8" borderId="39" xfId="0" applyFont="1" applyFill="1" applyBorder="1" applyAlignment="1">
      <alignment horizontal="centerContinuous"/>
    </xf>
    <xf numFmtId="0" fontId="5" fillId="8" borderId="31" xfId="0" applyFont="1" applyFill="1" applyBorder="1" applyAlignment="1">
      <alignment horizontal="centerContinuous"/>
    </xf>
    <xf numFmtId="0" fontId="5" fillId="8" borderId="45" xfId="0" applyFont="1" applyFill="1" applyBorder="1" applyAlignment="1">
      <alignment horizontal="centerContinuous"/>
    </xf>
    <xf numFmtId="0" fontId="5" fillId="8" borderId="40" xfId="0" applyFont="1" applyFill="1" applyBorder="1" applyAlignment="1">
      <alignment horizontal="centerContinuous"/>
    </xf>
    <xf numFmtId="8" fontId="0" fillId="0" borderId="51" xfId="0" applyNumberFormat="1" applyBorder="1"/>
    <xf numFmtId="8" fontId="0" fillId="0" borderId="23" xfId="0" applyNumberFormat="1" applyBorder="1"/>
    <xf numFmtId="10" fontId="0" fillId="0" borderId="52" xfId="2" applyNumberFormat="1" applyFont="1" applyFill="1" applyBorder="1"/>
    <xf numFmtId="169" fontId="0" fillId="0" borderId="3" xfId="2" applyNumberFormat="1" applyFont="1" applyBorder="1"/>
    <xf numFmtId="0" fontId="17" fillId="0" borderId="0" xfId="3" applyFont="1"/>
    <xf numFmtId="0" fontId="18" fillId="0" borderId="0" xfId="0" applyFont="1"/>
    <xf numFmtId="0" fontId="19" fillId="0" borderId="0" xfId="0" applyFont="1"/>
    <xf numFmtId="0" fontId="16" fillId="8" borderId="3" xfId="0" applyFont="1" applyFill="1" applyBorder="1" applyAlignment="1">
      <alignment horizontal="centerContinuous"/>
    </xf>
    <xf numFmtId="0" fontId="18" fillId="8" borderId="3" xfId="0" applyFont="1" applyFill="1" applyBorder="1" applyAlignment="1">
      <alignment horizontal="centerContinuous"/>
    </xf>
    <xf numFmtId="0" fontId="20" fillId="8" borderId="3" xfId="0" applyFont="1" applyFill="1" applyBorder="1" applyAlignment="1">
      <alignment horizontal="centerContinuous"/>
    </xf>
    <xf numFmtId="0" fontId="21" fillId="0" borderId="0" xfId="0" applyFont="1"/>
    <xf numFmtId="0" fontId="20" fillId="0" borderId="0" xfId="0" applyFont="1"/>
    <xf numFmtId="164" fontId="21" fillId="0" borderId="3" xfId="2" applyNumberFormat="1" applyFont="1" applyFill="1" applyBorder="1"/>
    <xf numFmtId="0" fontId="20" fillId="5" borderId="3" xfId="0" applyFont="1" applyFill="1" applyBorder="1"/>
    <xf numFmtId="8" fontId="20" fillId="0" borderId="3" xfId="0" applyNumberFormat="1" applyFont="1" applyBorder="1"/>
    <xf numFmtId="164" fontId="20" fillId="0" borderId="3" xfId="2" applyNumberFormat="1" applyFont="1" applyBorder="1"/>
    <xf numFmtId="0" fontId="21" fillId="5" borderId="3" xfId="0" applyFont="1" applyFill="1" applyBorder="1"/>
    <xf numFmtId="0" fontId="21" fillId="0" borderId="0" xfId="0" applyFont="1" applyAlignment="1">
      <alignment horizontal="left" indent="1"/>
    </xf>
    <xf numFmtId="8" fontId="21" fillId="0" borderId="3" xfId="0" applyNumberFormat="1" applyFont="1" applyBorder="1"/>
    <xf numFmtId="8" fontId="21" fillId="0" borderId="3" xfId="2" applyNumberFormat="1" applyFont="1" applyFill="1" applyBorder="1"/>
    <xf numFmtId="164" fontId="21" fillId="0" borderId="10" xfId="2" applyNumberFormat="1" applyFont="1" applyFill="1" applyBorder="1"/>
    <xf numFmtId="164" fontId="21" fillId="0" borderId="8" xfId="2" applyNumberFormat="1" applyFont="1" applyBorder="1"/>
    <xf numFmtId="164" fontId="21" fillId="0" borderId="13" xfId="0" applyNumberFormat="1" applyFont="1" applyBorder="1"/>
    <xf numFmtId="0" fontId="21" fillId="0" borderId="0" xfId="0" applyFont="1" applyAlignment="1">
      <alignment horizontal="left"/>
    </xf>
    <xf numFmtId="164" fontId="21" fillId="0" borderId="0" xfId="2" applyNumberFormat="1" applyFont="1" applyBorder="1"/>
    <xf numFmtId="164" fontId="21" fillId="0" borderId="0" xfId="0" applyNumberFormat="1" applyFont="1"/>
    <xf numFmtId="0" fontId="23" fillId="0" borderId="0" xfId="3" applyFont="1"/>
    <xf numFmtId="0" fontId="21" fillId="0" borderId="21" xfId="0" applyFont="1" applyBorder="1" applyAlignment="1">
      <alignment horizontal="left" indent="1"/>
    </xf>
    <xf numFmtId="6" fontId="4" fillId="9" borderId="2" xfId="5" applyNumberFormat="1" applyFill="1"/>
    <xf numFmtId="164" fontId="4" fillId="9" borderId="2" xfId="5" applyNumberFormat="1" applyFill="1"/>
    <xf numFmtId="166" fontId="21" fillId="0" borderId="0" xfId="0" applyNumberFormat="1" applyFont="1"/>
    <xf numFmtId="0" fontId="18" fillId="0" borderId="0" xfId="0" applyFont="1" applyAlignment="1">
      <alignment horizontal="left"/>
    </xf>
    <xf numFmtId="0" fontId="18" fillId="8" borderId="3" xfId="0" applyFont="1" applyFill="1" applyBorder="1" applyAlignment="1">
      <alignment horizontal="center"/>
    </xf>
    <xf numFmtId="40" fontId="24" fillId="9" borderId="2" xfId="5" applyNumberFormat="1" applyFont="1" applyFill="1"/>
    <xf numFmtId="166" fontId="24" fillId="9" borderId="2" xfId="5" applyNumberFormat="1" applyFont="1" applyFill="1"/>
    <xf numFmtId="166" fontId="21" fillId="0" borderId="3" xfId="0" applyNumberFormat="1" applyFont="1" applyBorder="1"/>
    <xf numFmtId="0" fontId="21" fillId="4" borderId="6" xfId="0" applyFont="1" applyFill="1" applyBorder="1"/>
    <xf numFmtId="40" fontId="21" fillId="4" borderId="6" xfId="0" applyNumberFormat="1" applyFont="1" applyFill="1" applyBorder="1"/>
    <xf numFmtId="166" fontId="21" fillId="4" borderId="6" xfId="0" applyNumberFormat="1" applyFont="1" applyFill="1" applyBorder="1"/>
    <xf numFmtId="0" fontId="21" fillId="0" borderId="47" xfId="0" applyFont="1" applyBorder="1"/>
    <xf numFmtId="0" fontId="18" fillId="0" borderId="48" xfId="0" applyFont="1" applyBorder="1"/>
    <xf numFmtId="0" fontId="21" fillId="0" borderId="49" xfId="0" applyFont="1" applyBorder="1"/>
    <xf numFmtId="0" fontId="18" fillId="8" borderId="39" xfId="0" applyFont="1" applyFill="1" applyBorder="1" applyAlignment="1">
      <alignment horizontal="centerContinuous"/>
    </xf>
    <xf numFmtId="0" fontId="18" fillId="8" borderId="31" xfId="0" applyFont="1" applyFill="1" applyBorder="1" applyAlignment="1">
      <alignment horizontal="centerContinuous"/>
    </xf>
    <xf numFmtId="0" fontId="18" fillId="8" borderId="45" xfId="0" applyFont="1" applyFill="1" applyBorder="1" applyAlignment="1">
      <alignment horizontal="centerContinuous"/>
    </xf>
    <xf numFmtId="0" fontId="18" fillId="8" borderId="40" xfId="0" applyFont="1" applyFill="1" applyBorder="1" applyAlignment="1">
      <alignment horizontal="centerContinuous"/>
    </xf>
    <xf numFmtId="0" fontId="18" fillId="8" borderId="41" xfId="0" applyFont="1" applyFill="1" applyBorder="1" applyAlignment="1">
      <alignment horizontal="center"/>
    </xf>
    <xf numFmtId="0" fontId="18" fillId="8" borderId="42" xfId="0" applyFont="1" applyFill="1" applyBorder="1" applyAlignment="1">
      <alignment horizontal="center"/>
    </xf>
    <xf numFmtId="0" fontId="18" fillId="8" borderId="41" xfId="0" applyFont="1" applyFill="1" applyBorder="1" applyAlignment="1">
      <alignment horizontal="center" wrapText="1"/>
    </xf>
    <xf numFmtId="10" fontId="21" fillId="0" borderId="41" xfId="2" applyNumberFormat="1" applyFont="1" applyBorder="1"/>
    <xf numFmtId="10" fontId="21" fillId="0" borderId="3" xfId="2" applyNumberFormat="1" applyFont="1" applyFill="1" applyBorder="1"/>
    <xf numFmtId="10" fontId="21" fillId="0" borderId="42" xfId="2" applyNumberFormat="1" applyFont="1" applyFill="1" applyBorder="1"/>
    <xf numFmtId="168" fontId="18" fillId="4" borderId="43" xfId="2" applyNumberFormat="1" applyFont="1" applyFill="1" applyBorder="1"/>
    <xf numFmtId="10" fontId="18" fillId="4" borderId="32" xfId="2" applyNumberFormat="1" applyFont="1" applyFill="1" applyBorder="1"/>
    <xf numFmtId="10" fontId="18" fillId="4" borderId="44" xfId="2" applyNumberFormat="1" applyFont="1" applyFill="1" applyBorder="1"/>
    <xf numFmtId="10" fontId="18" fillId="4" borderId="43" xfId="0" applyNumberFormat="1" applyFont="1" applyFill="1" applyBorder="1"/>
    <xf numFmtId="10" fontId="18" fillId="4" borderId="46" xfId="2" applyNumberFormat="1" applyFont="1" applyFill="1" applyBorder="1"/>
    <xf numFmtId="0" fontId="18" fillId="4" borderId="6" xfId="0" applyFont="1" applyFill="1" applyBorder="1"/>
    <xf numFmtId="173" fontId="21" fillId="0" borderId="0" xfId="0" applyNumberFormat="1" applyFont="1"/>
    <xf numFmtId="0" fontId="25" fillId="0" borderId="1" xfId="4" applyFont="1"/>
    <xf numFmtId="0" fontId="26" fillId="0" borderId="0" xfId="0" applyFont="1"/>
    <xf numFmtId="0" fontId="19" fillId="0" borderId="0" xfId="0" applyFont="1" applyAlignment="1">
      <alignment horizontal="left"/>
    </xf>
    <xf numFmtId="166" fontId="25" fillId="0" borderId="1" xfId="4" applyNumberFormat="1" applyFont="1"/>
    <xf numFmtId="0" fontId="21" fillId="0" borderId="3" xfId="0" applyFont="1" applyBorder="1" applyAlignment="1">
      <alignment horizontal="center"/>
    </xf>
    <xf numFmtId="49" fontId="4" fillId="9" borderId="3" xfId="5" applyNumberFormat="1" applyFill="1" applyBorder="1" applyAlignment="1">
      <alignment horizontal="left" vertical="top"/>
    </xf>
    <xf numFmtId="0" fontId="2" fillId="0" borderId="0" xfId="3" applyFill="1"/>
    <xf numFmtId="38" fontId="4" fillId="9" borderId="2" xfId="5" applyNumberFormat="1" applyFill="1"/>
    <xf numFmtId="10" fontId="24" fillId="9" borderId="41" xfId="2" applyNumberFormat="1" applyFont="1" applyFill="1" applyBorder="1"/>
    <xf numFmtId="10" fontId="24" fillId="9" borderId="3" xfId="2" applyNumberFormat="1" applyFont="1" applyFill="1" applyBorder="1"/>
    <xf numFmtId="8" fontId="0" fillId="0" borderId="0" xfId="0" applyNumberFormat="1" applyAlignment="1">
      <alignment horizontal="right"/>
    </xf>
    <xf numFmtId="8" fontId="0" fillId="0" borderId="16" xfId="0" applyNumberFormat="1" applyBorder="1" applyAlignment="1">
      <alignment horizontal="right"/>
    </xf>
    <xf numFmtId="0" fontId="4" fillId="9" borderId="13" xfId="0" applyFont="1" applyFill="1" applyBorder="1"/>
    <xf numFmtId="0" fontId="4" fillId="9" borderId="33" xfId="0" applyFont="1" applyFill="1" applyBorder="1"/>
    <xf numFmtId="8" fontId="4" fillId="9" borderId="13" xfId="0" applyNumberFormat="1" applyFont="1" applyFill="1" applyBorder="1"/>
    <xf numFmtId="8" fontId="4" fillId="9" borderId="33" xfId="0" applyNumberFormat="1" applyFont="1" applyFill="1" applyBorder="1"/>
    <xf numFmtId="8" fontId="6" fillId="0" borderId="13" xfId="0" applyNumberFormat="1" applyFont="1" applyBorder="1"/>
    <xf numFmtId="8" fontId="6" fillId="0" borderId="33" xfId="0" applyNumberFormat="1" applyFont="1" applyBorder="1"/>
    <xf numFmtId="169" fontId="0" fillId="0" borderId="0" xfId="2" applyNumberFormat="1" applyFont="1" applyBorder="1"/>
    <xf numFmtId="9" fontId="0" fillId="0" borderId="0" xfId="0" applyNumberFormat="1"/>
    <xf numFmtId="0" fontId="0" fillId="0" borderId="59" xfId="0" applyBorder="1"/>
    <xf numFmtId="9" fontId="0" fillId="0" borderId="59" xfId="0" applyNumberFormat="1" applyBorder="1"/>
    <xf numFmtId="8" fontId="0" fillId="0" borderId="59" xfId="0" applyNumberFormat="1" applyBorder="1"/>
    <xf numFmtId="8" fontId="0" fillId="0" borderId="60" xfId="0" applyNumberFormat="1" applyBorder="1"/>
    <xf numFmtId="169" fontId="1" fillId="0" borderId="3" xfId="2" applyNumberFormat="1" applyFont="1" applyFill="1" applyBorder="1"/>
    <xf numFmtId="0" fontId="20" fillId="0" borderId="2" xfId="5" applyFont="1" applyFill="1" applyAlignment="1">
      <alignment horizontal="center"/>
    </xf>
    <xf numFmtId="10" fontId="0" fillId="0" borderId="41" xfId="2" applyNumberFormat="1" applyFont="1" applyBorder="1"/>
    <xf numFmtId="10" fontId="0" fillId="0" borderId="42" xfId="2" applyNumberFormat="1" applyFont="1" applyBorder="1"/>
    <xf numFmtId="169" fontId="1" fillId="0" borderId="41" xfId="2" applyNumberFormat="1" applyFont="1" applyFill="1" applyBorder="1"/>
    <xf numFmtId="169" fontId="1" fillId="0" borderId="42" xfId="2" applyNumberFormat="1" applyFont="1" applyFill="1" applyBorder="1"/>
    <xf numFmtId="169" fontId="0" fillId="0" borderId="61" xfId="2" applyNumberFormat="1" applyFont="1" applyBorder="1"/>
    <xf numFmtId="169" fontId="0" fillId="0" borderId="62" xfId="2" applyNumberFormat="1" applyFont="1" applyBorder="1"/>
    <xf numFmtId="169" fontId="0" fillId="0" borderId="63" xfId="2" applyNumberFormat="1" applyFont="1" applyBorder="1"/>
    <xf numFmtId="10" fontId="0" fillId="0" borderId="64" xfId="2" applyNumberFormat="1" applyFont="1" applyBorder="1"/>
    <xf numFmtId="169" fontId="0" fillId="0" borderId="41" xfId="0" applyNumberFormat="1" applyBorder="1"/>
    <xf numFmtId="10" fontId="0" fillId="0" borderId="63" xfId="2" applyNumberFormat="1" applyFont="1" applyFill="1" applyBorder="1"/>
    <xf numFmtId="0" fontId="0" fillId="0" borderId="65" xfId="0" applyBorder="1"/>
    <xf numFmtId="0" fontId="0" fillId="0" borderId="66" xfId="0" applyBorder="1"/>
    <xf numFmtId="0" fontId="25" fillId="0" borderId="7" xfId="6" applyFont="1"/>
    <xf numFmtId="170" fontId="4" fillId="9" borderId="10" xfId="2" applyNumberFormat="1" applyFont="1" applyFill="1" applyBorder="1" applyAlignment="1" applyProtection="1">
      <alignment horizontal="center"/>
      <protection locked="0"/>
    </xf>
    <xf numFmtId="170" fontId="4" fillId="9" borderId="24" xfId="2" applyNumberFormat="1" applyFont="1" applyFill="1" applyBorder="1" applyAlignment="1" applyProtection="1">
      <alignment horizontal="center"/>
      <protection locked="0"/>
    </xf>
    <xf numFmtId="170" fontId="4" fillId="9" borderId="5" xfId="2" applyNumberFormat="1" applyFont="1" applyFill="1" applyBorder="1" applyAlignment="1" applyProtection="1">
      <alignment horizontal="center"/>
      <protection locked="0"/>
    </xf>
    <xf numFmtId="166" fontId="4" fillId="9" borderId="5" xfId="2" applyNumberFormat="1" applyFont="1" applyFill="1" applyBorder="1" applyAlignment="1" applyProtection="1">
      <alignment horizontal="center"/>
      <protection locked="0"/>
    </xf>
    <xf numFmtId="41" fontId="4" fillId="9" borderId="3" xfId="1" applyNumberFormat="1" applyFont="1" applyFill="1" applyBorder="1" applyAlignment="1" applyProtection="1">
      <alignment horizontal="center"/>
    </xf>
    <xf numFmtId="166" fontId="4" fillId="9" borderId="10" xfId="2" applyNumberFormat="1" applyFont="1" applyFill="1" applyBorder="1" applyAlignment="1" applyProtection="1">
      <alignment horizontal="center"/>
    </xf>
    <xf numFmtId="166" fontId="4" fillId="9" borderId="5" xfId="2" applyNumberFormat="1" applyFont="1" applyFill="1" applyBorder="1" applyAlignment="1" applyProtection="1">
      <alignment horizontal="center"/>
    </xf>
    <xf numFmtId="166" fontId="4" fillId="9" borderId="3" xfId="2" applyNumberFormat="1" applyFont="1" applyFill="1" applyBorder="1" applyAlignment="1" applyProtection="1">
      <alignment horizontal="center"/>
    </xf>
    <xf numFmtId="10" fontId="4" fillId="9" borderId="24" xfId="2" applyNumberFormat="1" applyFont="1" applyFill="1" applyBorder="1" applyAlignment="1" applyProtection="1">
      <alignment horizontal="center"/>
      <protection locked="0"/>
    </xf>
    <xf numFmtId="10" fontId="0" fillId="0" borderId="4" xfId="2" applyNumberFormat="1" applyFont="1" applyBorder="1" applyAlignment="1">
      <alignment horizontal="right"/>
    </xf>
    <xf numFmtId="8" fontId="4" fillId="9" borderId="0" xfId="0" applyNumberFormat="1" applyFont="1" applyFill="1" applyAlignment="1">
      <alignment horizontal="right"/>
    </xf>
    <xf numFmtId="10" fontId="0" fillId="0" borderId="15" xfId="2" applyNumberFormat="1" applyFont="1" applyBorder="1" applyAlignment="1">
      <alignment horizontal="right"/>
    </xf>
    <xf numFmtId="8" fontId="4" fillId="9" borderId="16" xfId="0" applyNumberFormat="1" applyFont="1" applyFill="1" applyBorder="1" applyAlignment="1">
      <alignment horizontal="right"/>
    </xf>
    <xf numFmtId="10" fontId="0" fillId="0" borderId="0" xfId="2" applyNumberFormat="1" applyFont="1" applyBorder="1" applyAlignment="1">
      <alignment horizontal="right"/>
    </xf>
    <xf numFmtId="8" fontId="4" fillId="9" borderId="21" xfId="0" applyNumberFormat="1" applyFont="1" applyFill="1" applyBorder="1" applyAlignment="1">
      <alignment horizontal="right"/>
    </xf>
    <xf numFmtId="10" fontId="4" fillId="9" borderId="4" xfId="2" applyNumberFormat="1" applyFont="1" applyFill="1" applyBorder="1" applyAlignment="1">
      <alignment horizontal="right"/>
    </xf>
    <xf numFmtId="10" fontId="4" fillId="9" borderId="15" xfId="2" applyNumberFormat="1" applyFont="1" applyFill="1" applyBorder="1" applyAlignment="1">
      <alignment horizontal="right"/>
    </xf>
    <xf numFmtId="10" fontId="4" fillId="9" borderId="0" xfId="2" applyNumberFormat="1" applyFont="1" applyFill="1" applyBorder="1" applyAlignment="1">
      <alignment horizontal="right"/>
    </xf>
    <xf numFmtId="8" fontId="0" fillId="0" borderId="21" xfId="0" applyNumberFormat="1" applyBorder="1" applyAlignment="1">
      <alignment horizontal="right"/>
    </xf>
    <xf numFmtId="10" fontId="0" fillId="0" borderId="22" xfId="2" applyNumberFormat="1" applyFont="1" applyBorder="1" applyAlignment="1">
      <alignment horizontal="right"/>
    </xf>
    <xf numFmtId="8" fontId="4" fillId="9" borderId="11" xfId="0" applyNumberFormat="1" applyFont="1" applyFill="1" applyBorder="1" applyAlignment="1">
      <alignment horizontal="right"/>
    </xf>
    <xf numFmtId="10" fontId="0" fillId="0" borderId="17" xfId="2" applyNumberFormat="1" applyFont="1" applyBorder="1" applyAlignment="1">
      <alignment horizontal="right"/>
    </xf>
    <xf numFmtId="8" fontId="4" fillId="9" borderId="18" xfId="0" applyNumberFormat="1" applyFont="1" applyFill="1" applyBorder="1" applyAlignment="1">
      <alignment horizontal="right"/>
    </xf>
    <xf numFmtId="10" fontId="0" fillId="0" borderId="11" xfId="2" applyNumberFormat="1" applyFont="1" applyBorder="1" applyAlignment="1">
      <alignment horizontal="right"/>
    </xf>
    <xf numFmtId="8" fontId="4" fillId="9" borderId="23" xfId="0" applyNumberFormat="1" applyFont="1" applyFill="1" applyBorder="1" applyAlignment="1">
      <alignment horizontal="right"/>
    </xf>
    <xf numFmtId="10" fontId="5" fillId="0" borderId="4" xfId="2" applyNumberFormat="1" applyFont="1" applyFill="1" applyBorder="1" applyAlignment="1">
      <alignment horizontal="right"/>
    </xf>
    <xf numFmtId="8" fontId="5" fillId="0" borderId="0" xfId="0" applyNumberFormat="1" applyFont="1" applyAlignment="1">
      <alignment horizontal="right"/>
    </xf>
    <xf numFmtId="10" fontId="5" fillId="0" borderId="15" xfId="2" applyNumberFormat="1" applyFont="1" applyFill="1" applyBorder="1" applyAlignment="1">
      <alignment horizontal="right"/>
    </xf>
    <xf numFmtId="8" fontId="5" fillId="0" borderId="16" xfId="0" applyNumberFormat="1" applyFont="1" applyBorder="1" applyAlignment="1">
      <alignment horizontal="right"/>
    </xf>
    <xf numFmtId="10" fontId="5" fillId="0" borderId="0" xfId="2" applyNumberFormat="1" applyFont="1" applyFill="1" applyBorder="1" applyAlignment="1">
      <alignment horizontal="right"/>
    </xf>
    <xf numFmtId="8" fontId="5" fillId="0" borderId="21" xfId="0" applyNumberFormat="1" applyFont="1" applyBorder="1" applyAlignment="1">
      <alignment horizontal="right"/>
    </xf>
    <xf numFmtId="169" fontId="4" fillId="9" borderId="4" xfId="2" applyNumberFormat="1" applyFont="1" applyFill="1" applyBorder="1" applyAlignment="1">
      <alignment horizontal="right"/>
    </xf>
    <xf numFmtId="169" fontId="4" fillId="9" borderId="15" xfId="2" applyNumberFormat="1" applyFont="1" applyFill="1" applyBorder="1" applyAlignment="1">
      <alignment horizontal="right"/>
    </xf>
    <xf numFmtId="169" fontId="4" fillId="9" borderId="0" xfId="2" applyNumberFormat="1" applyFont="1" applyFill="1" applyBorder="1" applyAlignment="1">
      <alignment horizontal="right"/>
    </xf>
    <xf numFmtId="10" fontId="0" fillId="9" borderId="26" xfId="2" applyNumberFormat="1" applyFont="1" applyFill="1" applyBorder="1" applyAlignment="1">
      <alignment horizontal="right"/>
    </xf>
    <xf numFmtId="8" fontId="0" fillId="0" borderId="25" xfId="0" applyNumberFormat="1" applyBorder="1" applyAlignment="1">
      <alignment horizontal="right"/>
    </xf>
    <xf numFmtId="10" fontId="0" fillId="9" borderId="27" xfId="2" applyNumberFormat="1" applyFont="1" applyFill="1" applyBorder="1" applyAlignment="1">
      <alignment horizontal="right"/>
    </xf>
    <xf numFmtId="8" fontId="0" fillId="0" borderId="28" xfId="0" applyNumberFormat="1" applyBorder="1" applyAlignment="1">
      <alignment horizontal="right"/>
    </xf>
    <xf numFmtId="10" fontId="0" fillId="9" borderId="25" xfId="2" applyNumberFormat="1" applyFont="1" applyFill="1" applyBorder="1" applyAlignment="1">
      <alignment horizontal="right"/>
    </xf>
    <xf numFmtId="8" fontId="0" fillId="0" borderId="29" xfId="0" applyNumberFormat="1" applyBorder="1" applyAlignment="1">
      <alignment horizontal="right"/>
    </xf>
    <xf numFmtId="10" fontId="0" fillId="0" borderId="26" xfId="2" applyNumberFormat="1" applyFont="1" applyFill="1" applyBorder="1" applyAlignment="1">
      <alignment horizontal="right"/>
    </xf>
    <xf numFmtId="8" fontId="0" fillId="9" borderId="25" xfId="0" applyNumberFormat="1" applyFill="1" applyBorder="1" applyAlignment="1">
      <alignment horizontal="right"/>
    </xf>
    <xf numFmtId="10" fontId="0" fillId="0" borderId="27" xfId="2" applyNumberFormat="1" applyFont="1" applyFill="1" applyBorder="1" applyAlignment="1">
      <alignment horizontal="right"/>
    </xf>
    <xf numFmtId="8" fontId="0" fillId="9" borderId="28" xfId="0" applyNumberFormat="1" applyFill="1" applyBorder="1" applyAlignment="1">
      <alignment horizontal="right"/>
    </xf>
    <xf numFmtId="10" fontId="0" fillId="0" borderId="25" xfId="2" applyNumberFormat="1" applyFont="1" applyFill="1" applyBorder="1" applyAlignment="1">
      <alignment horizontal="right"/>
    </xf>
    <xf numFmtId="8" fontId="0" fillId="9" borderId="29" xfId="0" applyNumberFormat="1" applyFill="1" applyBorder="1" applyAlignment="1">
      <alignment horizontal="right"/>
    </xf>
    <xf numFmtId="8" fontId="0" fillId="9" borderId="11" xfId="0" applyNumberFormat="1" applyFill="1" applyBorder="1" applyAlignment="1">
      <alignment horizontal="right"/>
    </xf>
    <xf numFmtId="8" fontId="0" fillId="9" borderId="18" xfId="0" applyNumberFormat="1" applyFill="1" applyBorder="1" applyAlignment="1">
      <alignment horizontal="right"/>
    </xf>
    <xf numFmtId="8" fontId="0" fillId="9" borderId="23" xfId="0" applyNumberFormat="1" applyFill="1" applyBorder="1" applyAlignment="1">
      <alignment horizontal="right"/>
    </xf>
    <xf numFmtId="170" fontId="4" fillId="4" borderId="10" xfId="2" applyNumberFormat="1" applyFont="1" applyFill="1" applyBorder="1" applyAlignment="1" applyProtection="1">
      <alignment horizontal="center"/>
      <protection locked="0"/>
    </xf>
    <xf numFmtId="0" fontId="0" fillId="0" borderId="10" xfId="2" applyNumberFormat="1" applyFont="1" applyFill="1" applyBorder="1" applyAlignment="1" applyProtection="1">
      <alignment horizontal="center"/>
      <protection locked="0"/>
    </xf>
    <xf numFmtId="166" fontId="4" fillId="4" borderId="24" xfId="2" applyNumberFormat="1" applyFont="1" applyFill="1" applyBorder="1" applyAlignment="1" applyProtection="1">
      <alignment horizontal="center"/>
      <protection locked="0"/>
    </xf>
    <xf numFmtId="166" fontId="4" fillId="4" borderId="5" xfId="2" applyNumberFormat="1" applyFont="1" applyFill="1" applyBorder="1" applyAlignment="1" applyProtection="1">
      <alignment horizontal="center"/>
      <protection locked="0"/>
    </xf>
    <xf numFmtId="166" fontId="6" fillId="4" borderId="5" xfId="2" applyNumberFormat="1" applyFont="1" applyFill="1" applyBorder="1" applyAlignment="1" applyProtection="1">
      <alignment horizontal="center"/>
      <protection locked="0"/>
    </xf>
    <xf numFmtId="166" fontId="6" fillId="4" borderId="24" xfId="2" applyNumberFormat="1" applyFont="1" applyFill="1" applyBorder="1" applyAlignment="1" applyProtection="1">
      <alignment horizontal="center"/>
      <protection locked="0"/>
    </xf>
    <xf numFmtId="10" fontId="4" fillId="4" borderId="0" xfId="2" applyNumberFormat="1" applyFont="1" applyFill="1" applyBorder="1"/>
    <xf numFmtId="10" fontId="4" fillId="4" borderId="11" xfId="2" applyNumberFormat="1" applyFont="1" applyFill="1" applyBorder="1"/>
    <xf numFmtId="0" fontId="0" fillId="13" borderId="0" xfId="0" applyFill="1"/>
    <xf numFmtId="0" fontId="18" fillId="4" borderId="0" xfId="0" applyFont="1" applyFill="1"/>
    <xf numFmtId="0" fontId="21" fillId="4" borderId="0" xfId="0" applyFont="1" applyFill="1"/>
    <xf numFmtId="10" fontId="4" fillId="2" borderId="2" xfId="5" applyNumberFormat="1"/>
    <xf numFmtId="0" fontId="21" fillId="0" borderId="23" xfId="0" applyFont="1" applyBorder="1" applyAlignment="1">
      <alignment horizontal="center" vertical="top" wrapText="1"/>
    </xf>
    <xf numFmtId="0" fontId="16" fillId="15" borderId="10" xfId="0" applyFont="1" applyFill="1" applyBorder="1" applyAlignment="1">
      <alignment horizontal="center" vertical="top" wrapText="1"/>
    </xf>
    <xf numFmtId="0" fontId="16" fillId="15" borderId="3" xfId="0" applyFont="1" applyFill="1" applyBorder="1" applyAlignment="1">
      <alignment horizontal="center" vertical="top" wrapText="1"/>
    </xf>
    <xf numFmtId="0" fontId="21" fillId="4" borderId="3" xfId="0" applyFont="1" applyFill="1" applyBorder="1" applyAlignment="1">
      <alignment horizontal="center" vertical="top" wrapText="1"/>
    </xf>
    <xf numFmtId="0" fontId="21" fillId="4" borderId="9" xfId="0" applyFont="1" applyFill="1" applyBorder="1" applyAlignment="1">
      <alignment horizontal="center" vertical="top" wrapText="1"/>
    </xf>
    <xf numFmtId="0" fontId="21" fillId="0" borderId="0" xfId="0" applyFont="1" applyAlignment="1">
      <alignment horizontal="center" vertical="top" wrapText="1"/>
    </xf>
    <xf numFmtId="0" fontId="21" fillId="0" borderId="67" xfId="0" applyFont="1" applyBorder="1" applyAlignment="1">
      <alignment horizontal="center" vertical="top" wrapText="1"/>
    </xf>
    <xf numFmtId="165" fontId="21" fillId="16" borderId="3" xfId="1" applyNumberFormat="1" applyFont="1" applyFill="1" applyBorder="1" applyAlignment="1">
      <alignment horizontal="center" vertical="top" wrapText="1"/>
    </xf>
    <xf numFmtId="175" fontId="21" fillId="16" borderId="3" xfId="0" applyNumberFormat="1" applyFont="1" applyFill="1" applyBorder="1" applyAlignment="1">
      <alignment horizontal="center" vertical="top" wrapText="1"/>
    </xf>
    <xf numFmtId="175" fontId="21" fillId="0" borderId="3" xfId="0" applyNumberFormat="1" applyFont="1" applyBorder="1" applyAlignment="1">
      <alignment horizontal="center" vertical="top" wrapText="1"/>
    </xf>
    <xf numFmtId="166" fontId="21" fillId="0" borderId="3" xfId="0" applyNumberFormat="1" applyFont="1" applyBorder="1" applyAlignment="1">
      <alignment horizontal="center" vertical="top" wrapText="1"/>
    </xf>
    <xf numFmtId="166" fontId="21" fillId="0" borderId="9" xfId="0" applyNumberFormat="1" applyFont="1" applyBorder="1" applyAlignment="1">
      <alignment horizontal="center" vertical="top" wrapText="1"/>
    </xf>
    <xf numFmtId="10" fontId="21" fillId="0" borderId="9" xfId="2" applyNumberFormat="1" applyFont="1" applyFill="1" applyBorder="1" applyAlignment="1">
      <alignment horizontal="center" vertical="top" wrapText="1"/>
    </xf>
    <xf numFmtId="1" fontId="21" fillId="4" borderId="3" xfId="0" applyNumberFormat="1" applyFont="1" applyFill="1" applyBorder="1" applyAlignment="1">
      <alignment horizontal="center" vertical="top" wrapText="1"/>
    </xf>
    <xf numFmtId="175" fontId="21" fillId="4" borderId="3" xfId="0" applyNumberFormat="1" applyFont="1" applyFill="1" applyBorder="1" applyAlignment="1">
      <alignment horizontal="center" vertical="top" wrapText="1"/>
    </xf>
    <xf numFmtId="1" fontId="21" fillId="4" borderId="0" xfId="0" applyNumberFormat="1" applyFont="1" applyFill="1" applyAlignment="1">
      <alignment horizontal="center" vertical="top" wrapText="1"/>
    </xf>
    <xf numFmtId="175" fontId="21" fillId="4" borderId="0" xfId="0" applyNumberFormat="1" applyFont="1" applyFill="1" applyAlignment="1">
      <alignment horizontal="center" vertical="top" wrapText="1"/>
    </xf>
    <xf numFmtId="0" fontId="21" fillId="4" borderId="0" xfId="0" applyFont="1" applyFill="1" applyAlignment="1">
      <alignment horizontal="center" vertical="top" wrapText="1"/>
    </xf>
    <xf numFmtId="165" fontId="21" fillId="9" borderId="3" xfId="1" applyNumberFormat="1" applyFont="1" applyFill="1" applyBorder="1" applyAlignment="1">
      <alignment horizontal="center" vertical="top" wrapText="1"/>
    </xf>
    <xf numFmtId="175" fontId="21" fillId="9" borderId="3" xfId="0" applyNumberFormat="1" applyFont="1" applyFill="1" applyBorder="1" applyAlignment="1">
      <alignment horizontal="center" vertical="top" wrapText="1"/>
    </xf>
    <xf numFmtId="175" fontId="21" fillId="4" borderId="0" xfId="0" applyNumberFormat="1" applyFont="1" applyFill="1"/>
    <xf numFmtId="10" fontId="21" fillId="0" borderId="19" xfId="2" applyNumberFormat="1" applyFont="1" applyFill="1" applyBorder="1" applyAlignment="1">
      <alignment horizontal="center" vertical="top" wrapText="1"/>
    </xf>
    <xf numFmtId="1" fontId="21" fillId="4" borderId="3" xfId="2" applyNumberFormat="1" applyFont="1" applyFill="1" applyBorder="1" applyAlignment="1">
      <alignment horizontal="center" vertical="top" wrapText="1"/>
    </xf>
    <xf numFmtId="1" fontId="21" fillId="4" borderId="0" xfId="2" applyNumberFormat="1" applyFont="1" applyFill="1" applyBorder="1" applyAlignment="1">
      <alignment horizontal="center" vertical="top" wrapText="1"/>
    </xf>
    <xf numFmtId="0" fontId="21" fillId="0" borderId="20" xfId="0" applyFont="1" applyBorder="1" applyAlignment="1">
      <alignment horizontal="center" vertical="top" wrapText="1"/>
    </xf>
    <xf numFmtId="175" fontId="21" fillId="16" borderId="10" xfId="0" applyNumberFormat="1" applyFont="1" applyFill="1" applyBorder="1" applyAlignment="1">
      <alignment horizontal="center" vertical="top" wrapText="1"/>
    </xf>
    <xf numFmtId="175" fontId="21" fillId="0" borderId="10" xfId="0" applyNumberFormat="1" applyFont="1" applyBorder="1" applyAlignment="1">
      <alignment horizontal="center" vertical="top" wrapText="1"/>
    </xf>
    <xf numFmtId="166" fontId="21" fillId="0" borderId="10" xfId="0" applyNumberFormat="1" applyFont="1" applyBorder="1" applyAlignment="1">
      <alignment horizontal="center" vertical="top" wrapText="1"/>
    </xf>
    <xf numFmtId="0" fontId="28" fillId="0" borderId="0" xfId="3" applyFont="1"/>
    <xf numFmtId="43" fontId="6" fillId="0" borderId="0" xfId="0" applyNumberFormat="1" applyFont="1"/>
    <xf numFmtId="9" fontId="6" fillId="0" borderId="0" xfId="2" applyFont="1"/>
    <xf numFmtId="0" fontId="6" fillId="0" borderId="0" xfId="0" applyFont="1"/>
    <xf numFmtId="0" fontId="29" fillId="0" borderId="0" xfId="3" applyFont="1"/>
    <xf numFmtId="0" fontId="28" fillId="0" borderId="0" xfId="3" applyFont="1" applyFill="1"/>
    <xf numFmtId="165" fontId="21" fillId="0" borderId="0" xfId="0" applyNumberFormat="1" applyFont="1"/>
    <xf numFmtId="165" fontId="21" fillId="0" borderId="3" xfId="0" applyNumberFormat="1" applyFont="1" applyBorder="1"/>
    <xf numFmtId="165" fontId="21" fillId="0" borderId="10" xfId="0" applyNumberFormat="1" applyFont="1" applyBorder="1"/>
    <xf numFmtId="0" fontId="31" fillId="0" borderId="0" xfId="3" applyFont="1"/>
    <xf numFmtId="0" fontId="31" fillId="0" borderId="0" xfId="3" applyFont="1" applyFill="1"/>
    <xf numFmtId="0" fontId="17" fillId="0" borderId="0" xfId="3" applyFont="1" applyFill="1"/>
    <xf numFmtId="0" fontId="35" fillId="0" borderId="0" xfId="0" applyFont="1" applyAlignment="1">
      <alignment horizontal="center"/>
    </xf>
    <xf numFmtId="175" fontId="21" fillId="0" borderId="0" xfId="0" applyNumberFormat="1" applyFont="1"/>
    <xf numFmtId="0" fontId="0" fillId="4" borderId="0" xfId="0" applyFill="1"/>
    <xf numFmtId="10" fontId="0" fillId="4" borderId="3" xfId="2" applyNumberFormat="1" applyFont="1" applyFill="1" applyBorder="1"/>
    <xf numFmtId="0" fontId="0" fillId="0" borderId="23" xfId="0" applyBorder="1"/>
    <xf numFmtId="0" fontId="37" fillId="18" borderId="0" xfId="0" applyFont="1" applyFill="1"/>
    <xf numFmtId="0" fontId="37" fillId="18" borderId="71" xfId="0" applyFont="1" applyFill="1" applyBorder="1"/>
    <xf numFmtId="0" fontId="37" fillId="18" borderId="72" xfId="0" applyFont="1" applyFill="1" applyBorder="1"/>
    <xf numFmtId="0" fontId="37" fillId="18" borderId="73" xfId="0" applyFont="1" applyFill="1" applyBorder="1"/>
    <xf numFmtId="49" fontId="4" fillId="9" borderId="9" xfId="5" applyNumberFormat="1" applyFill="1" applyBorder="1" applyAlignment="1">
      <alignment horizontal="left" vertical="top" wrapText="1"/>
    </xf>
    <xf numFmtId="10" fontId="21" fillId="0" borderId="0" xfId="2" applyNumberFormat="1" applyFont="1" applyFill="1" applyBorder="1" applyAlignment="1">
      <alignment horizontal="center" vertical="top" wrapText="1"/>
    </xf>
    <xf numFmtId="0" fontId="18" fillId="4" borderId="0" xfId="0" applyFont="1" applyFill="1" applyAlignment="1">
      <alignment horizontal="left"/>
    </xf>
    <xf numFmtId="164" fontId="21" fillId="0" borderId="8" xfId="2" applyNumberFormat="1" applyFont="1" applyFill="1" applyBorder="1"/>
    <xf numFmtId="0" fontId="38" fillId="0" borderId="0" xfId="3" applyFont="1" applyFill="1"/>
    <xf numFmtId="0" fontId="21" fillId="13" borderId="0" xfId="0" applyFont="1" applyFill="1"/>
    <xf numFmtId="0" fontId="18" fillId="8" borderId="3" xfId="0" applyFont="1" applyFill="1" applyBorder="1" applyAlignment="1">
      <alignment horizontal="left" indent="1"/>
    </xf>
    <xf numFmtId="0" fontId="21" fillId="0" borderId="3" xfId="0" applyFont="1" applyBorder="1" applyAlignment="1">
      <alignment horizontal="left" indent="1"/>
    </xf>
    <xf numFmtId="0" fontId="21" fillId="4" borderId="6" xfId="0" applyFont="1" applyFill="1" applyBorder="1" applyAlignment="1">
      <alignment horizontal="left" indent="1"/>
    </xf>
    <xf numFmtId="0" fontId="21" fillId="0" borderId="9" xfId="0" applyFont="1" applyBorder="1" applyAlignment="1">
      <alignment horizontal="left" indent="1"/>
    </xf>
    <xf numFmtId="0" fontId="18" fillId="4" borderId="74" xfId="0" applyFont="1" applyFill="1" applyBorder="1" applyAlignment="1">
      <alignment horizontal="left" indent="1"/>
    </xf>
    <xf numFmtId="0" fontId="0" fillId="0" borderId="19" xfId="0" applyBorder="1" applyAlignment="1">
      <alignment horizontal="left" indent="1"/>
    </xf>
    <xf numFmtId="0" fontId="0" fillId="0" borderId="50" xfId="0" applyBorder="1" applyAlignment="1">
      <alignment horizontal="left" indent="1"/>
    </xf>
    <xf numFmtId="0" fontId="0" fillId="0" borderId="22" xfId="0" applyBorder="1" applyAlignment="1">
      <alignment horizontal="left" indent="1"/>
    </xf>
    <xf numFmtId="0" fontId="0" fillId="0" borderId="4" xfId="0" applyBorder="1" applyAlignment="1">
      <alignment horizontal="left" indent="1"/>
    </xf>
    <xf numFmtId="0" fontId="0" fillId="0" borderId="58" xfId="0" applyBorder="1" applyAlignment="1">
      <alignment horizontal="left" indent="1"/>
    </xf>
    <xf numFmtId="0" fontId="0" fillId="0" borderId="9" xfId="0" applyBorder="1" applyAlignment="1">
      <alignment horizontal="left" indent="1"/>
    </xf>
    <xf numFmtId="0" fontId="18" fillId="8" borderId="3" xfId="0" applyFont="1" applyFill="1" applyBorder="1" applyAlignment="1">
      <alignment horizontal="left" vertical="center"/>
    </xf>
    <xf numFmtId="0" fontId="18" fillId="8" borderId="3" xfId="0" applyFont="1" applyFill="1" applyBorder="1" applyAlignment="1">
      <alignment horizontal="center" vertical="center"/>
    </xf>
    <xf numFmtId="0" fontId="21" fillId="0" borderId="0" xfId="0" applyFont="1" applyAlignment="1">
      <alignment vertical="center"/>
    </xf>
    <xf numFmtId="0" fontId="18" fillId="8" borderId="41" xfId="0" applyFont="1" applyFill="1" applyBorder="1" applyAlignment="1">
      <alignment horizontal="center" vertical="center"/>
    </xf>
    <xf numFmtId="0" fontId="18" fillId="8" borderId="42" xfId="0" applyFont="1" applyFill="1" applyBorder="1" applyAlignment="1">
      <alignment horizontal="center" vertical="center"/>
    </xf>
    <xf numFmtId="0" fontId="18" fillId="8" borderId="41" xfId="0" applyFont="1" applyFill="1" applyBorder="1" applyAlignment="1">
      <alignment horizontal="center" vertical="center" wrapText="1"/>
    </xf>
    <xf numFmtId="0" fontId="21" fillId="0" borderId="0" xfId="0" applyFont="1" applyAlignment="1">
      <alignment horizontal="center"/>
    </xf>
    <xf numFmtId="0" fontId="16" fillId="8" borderId="3" xfId="0" applyFont="1" applyFill="1" applyBorder="1" applyAlignment="1">
      <alignment horizontal="center" vertical="center" wrapText="1"/>
    </xf>
    <xf numFmtId="0" fontId="16" fillId="8" borderId="3" xfId="0" applyFont="1" applyFill="1" applyBorder="1" applyAlignment="1">
      <alignment horizontal="center" vertical="center"/>
    </xf>
    <xf numFmtId="0" fontId="22" fillId="11" borderId="3" xfId="0" applyFont="1" applyFill="1" applyBorder="1" applyAlignment="1">
      <alignment horizontal="center" vertical="center" wrapText="1"/>
    </xf>
    <xf numFmtId="0" fontId="5" fillId="8" borderId="3" xfId="0" applyFont="1" applyFill="1" applyBorder="1" applyAlignment="1">
      <alignment horizontal="left" vertical="center"/>
    </xf>
    <xf numFmtId="0" fontId="5" fillId="8" borderId="3" xfId="0" applyFont="1" applyFill="1" applyBorder="1" applyAlignment="1">
      <alignment horizontal="center" vertical="center" wrapText="1"/>
    </xf>
    <xf numFmtId="0" fontId="5" fillId="8" borderId="3" xfId="0" applyFont="1" applyFill="1" applyBorder="1" applyAlignment="1">
      <alignment horizontal="center" vertical="center"/>
    </xf>
    <xf numFmtId="0" fontId="0" fillId="0" borderId="0" xfId="0" applyAlignment="1">
      <alignment vertical="center"/>
    </xf>
    <xf numFmtId="0" fontId="5" fillId="8" borderId="9" xfId="0" applyFont="1" applyFill="1" applyBorder="1" applyAlignment="1">
      <alignment horizontal="left" vertical="center"/>
    </xf>
    <xf numFmtId="0" fontId="5" fillId="8" borderId="41"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5" fillId="8" borderId="42" xfId="0" applyFont="1" applyFill="1" applyBorder="1" applyAlignment="1">
      <alignment horizontal="center" vertical="center"/>
    </xf>
    <xf numFmtId="0" fontId="21" fillId="0" borderId="23" xfId="0" applyFont="1" applyBorder="1" applyAlignment="1">
      <alignment horizontal="center" vertical="center" wrapText="1"/>
    </xf>
    <xf numFmtId="0" fontId="21" fillId="0" borderId="5" xfId="0" applyFont="1" applyBorder="1" applyAlignment="1">
      <alignment horizontal="center" vertical="center" wrapText="1"/>
    </xf>
    <xf numFmtId="0" fontId="21" fillId="14" borderId="5" xfId="0" applyFont="1" applyFill="1" applyBorder="1" applyAlignment="1">
      <alignment horizontal="center" vertical="center" wrapText="1"/>
    </xf>
    <xf numFmtId="0" fontId="21" fillId="0" borderId="22" xfId="0" applyFont="1" applyBorder="1" applyAlignment="1">
      <alignment horizontal="center" vertical="center" wrapText="1"/>
    </xf>
    <xf numFmtId="0" fontId="30" fillId="17" borderId="23" xfId="0" applyFont="1" applyFill="1" applyBorder="1" applyAlignment="1">
      <alignment horizontal="center" vertical="center" wrapText="1"/>
    </xf>
    <xf numFmtId="0" fontId="30" fillId="17" borderId="5" xfId="0" applyFont="1" applyFill="1" applyBorder="1" applyAlignment="1">
      <alignment horizontal="center" vertical="center" wrapText="1"/>
    </xf>
    <xf numFmtId="176" fontId="21" fillId="0" borderId="3" xfId="0" applyNumberFormat="1" applyFont="1" applyBorder="1"/>
    <xf numFmtId="176" fontId="21" fillId="0" borderId="10" xfId="0" applyNumberFormat="1" applyFont="1" applyBorder="1"/>
    <xf numFmtId="177" fontId="21" fillId="0" borderId="3" xfId="0" applyNumberFormat="1" applyFont="1" applyBorder="1" applyAlignment="1">
      <alignment horizontal="center" vertical="top" wrapText="1"/>
    </xf>
    <xf numFmtId="177" fontId="21" fillId="0" borderId="10" xfId="0" applyNumberFormat="1" applyFont="1" applyBorder="1" applyAlignment="1">
      <alignment horizontal="center" vertical="top" wrapText="1"/>
    </xf>
    <xf numFmtId="165" fontId="21" fillId="9" borderId="5" xfId="1" applyNumberFormat="1" applyFont="1" applyFill="1" applyBorder="1" applyAlignment="1">
      <alignment horizontal="center" vertical="top" wrapText="1"/>
    </xf>
    <xf numFmtId="175" fontId="21" fillId="9" borderId="5" xfId="0" applyNumberFormat="1" applyFont="1" applyFill="1" applyBorder="1" applyAlignment="1">
      <alignment horizontal="center" vertical="top" wrapText="1"/>
    </xf>
    <xf numFmtId="177" fontId="21" fillId="0" borderId="5" xfId="0" applyNumberFormat="1" applyFont="1" applyBorder="1" applyAlignment="1">
      <alignment horizontal="center" vertical="top" wrapText="1"/>
    </xf>
    <xf numFmtId="175" fontId="21" fillId="0" borderId="5" xfId="0" applyNumberFormat="1" applyFont="1" applyBorder="1" applyAlignment="1">
      <alignment horizontal="center" vertical="top" wrapText="1"/>
    </xf>
    <xf numFmtId="166" fontId="21" fillId="0" borderId="5" xfId="0" applyNumberFormat="1" applyFont="1" applyBorder="1" applyAlignment="1">
      <alignment horizontal="center" vertical="top" wrapText="1"/>
    </xf>
    <xf numFmtId="166" fontId="21" fillId="0" borderId="22" xfId="0" applyNumberFormat="1" applyFont="1" applyBorder="1" applyAlignment="1">
      <alignment horizontal="center" vertical="top" wrapText="1"/>
    </xf>
    <xf numFmtId="10" fontId="21" fillId="0" borderId="22" xfId="2" applyNumberFormat="1" applyFont="1" applyFill="1" applyBorder="1" applyAlignment="1">
      <alignment horizontal="center" vertical="top" wrapText="1"/>
    </xf>
    <xf numFmtId="0" fontId="21" fillId="0" borderId="75" xfId="0" applyFont="1" applyBorder="1" applyAlignment="1">
      <alignment horizontal="center" vertical="top" wrapText="1"/>
    </xf>
    <xf numFmtId="165" fontId="21" fillId="16" borderId="32" xfId="1" applyNumberFormat="1" applyFont="1" applyFill="1" applyBorder="1" applyAlignment="1">
      <alignment horizontal="center" vertical="top" wrapText="1"/>
    </xf>
    <xf numFmtId="175" fontId="21" fillId="16" borderId="32" xfId="0" applyNumberFormat="1" applyFont="1" applyFill="1" applyBorder="1" applyAlignment="1">
      <alignment horizontal="center" vertical="top" wrapText="1"/>
    </xf>
    <xf numFmtId="177" fontId="21" fillId="0" borderId="32" xfId="0" applyNumberFormat="1" applyFont="1" applyBorder="1" applyAlignment="1">
      <alignment horizontal="center" vertical="top" wrapText="1"/>
    </xf>
    <xf numFmtId="175" fontId="21" fillId="0" borderId="32" xfId="0" applyNumberFormat="1" applyFont="1" applyBorder="1" applyAlignment="1">
      <alignment horizontal="center" vertical="top" wrapText="1"/>
    </xf>
    <xf numFmtId="166" fontId="21" fillId="0" borderId="32" xfId="0" applyNumberFormat="1" applyFont="1" applyBorder="1" applyAlignment="1">
      <alignment horizontal="center" vertical="top" wrapText="1"/>
    </xf>
    <xf numFmtId="166" fontId="21" fillId="0" borderId="46" xfId="0" applyNumberFormat="1" applyFont="1" applyBorder="1" applyAlignment="1">
      <alignment horizontal="center" vertical="top" wrapText="1"/>
    </xf>
    <xf numFmtId="10" fontId="21" fillId="0" borderId="46" xfId="2" applyNumberFormat="1" applyFont="1" applyFill="1" applyBorder="1" applyAlignment="1">
      <alignment horizontal="center" vertical="top" wrapText="1"/>
    </xf>
    <xf numFmtId="165" fontId="21" fillId="16" borderId="5" xfId="1" applyNumberFormat="1" applyFont="1" applyFill="1" applyBorder="1" applyAlignment="1">
      <alignment horizontal="center" vertical="top" wrapText="1"/>
    </xf>
    <xf numFmtId="175" fontId="21" fillId="16" borderId="5" xfId="0" applyNumberFormat="1" applyFont="1" applyFill="1" applyBorder="1" applyAlignment="1">
      <alignment horizontal="center" vertical="top" wrapText="1"/>
    </xf>
    <xf numFmtId="10" fontId="21" fillId="0" borderId="4" xfId="2" applyNumberFormat="1" applyFont="1" applyFill="1" applyBorder="1" applyAlignment="1">
      <alignment horizontal="center" vertical="top" wrapText="1"/>
    </xf>
    <xf numFmtId="165" fontId="21" fillId="9" borderId="32" xfId="1" applyNumberFormat="1" applyFont="1" applyFill="1" applyBorder="1" applyAlignment="1">
      <alignment horizontal="center" vertical="top" wrapText="1"/>
    </xf>
    <xf numFmtId="175" fontId="21" fillId="9" borderId="32" xfId="0" applyNumberFormat="1" applyFont="1" applyFill="1" applyBorder="1" applyAlignment="1">
      <alignment horizontal="center" vertical="top" wrapText="1"/>
    </xf>
    <xf numFmtId="176" fontId="21" fillId="16" borderId="3" xfId="0" applyNumberFormat="1" applyFont="1" applyFill="1" applyBorder="1" applyAlignment="1">
      <alignment horizontal="center" wrapText="1"/>
    </xf>
    <xf numFmtId="176" fontId="21" fillId="16" borderId="32" xfId="0" applyNumberFormat="1" applyFont="1" applyFill="1" applyBorder="1" applyAlignment="1">
      <alignment horizontal="center" wrapText="1"/>
    </xf>
    <xf numFmtId="176" fontId="21" fillId="9" borderId="5" xfId="0" applyNumberFormat="1" applyFont="1" applyFill="1" applyBorder="1" applyAlignment="1">
      <alignment horizontal="center" wrapText="1"/>
    </xf>
    <xf numFmtId="176" fontId="21" fillId="9" borderId="3" xfId="0" applyNumberFormat="1" applyFont="1" applyFill="1" applyBorder="1" applyAlignment="1">
      <alignment horizontal="center" wrapText="1"/>
    </xf>
    <xf numFmtId="176" fontId="21" fillId="9" borderId="32" xfId="0" applyNumberFormat="1" applyFont="1" applyFill="1" applyBorder="1" applyAlignment="1">
      <alignment horizontal="center" wrapText="1"/>
    </xf>
    <xf numFmtId="176" fontId="21" fillId="16" borderId="5" xfId="0" applyNumberFormat="1" applyFont="1" applyFill="1" applyBorder="1" applyAlignment="1">
      <alignment horizontal="center" wrapText="1"/>
    </xf>
    <xf numFmtId="176" fontId="21" fillId="0" borderId="3" xfId="0" applyNumberFormat="1" applyFont="1" applyBorder="1" applyAlignment="1">
      <alignment horizontal="center"/>
    </xf>
    <xf numFmtId="176" fontId="21" fillId="0" borderId="32" xfId="0" applyNumberFormat="1" applyFont="1" applyBorder="1" applyAlignment="1">
      <alignment horizontal="center"/>
    </xf>
    <xf numFmtId="176" fontId="21" fillId="0" borderId="5" xfId="0" applyNumberFormat="1" applyFont="1" applyBorder="1" applyAlignment="1">
      <alignment horizontal="center"/>
    </xf>
    <xf numFmtId="176" fontId="21" fillId="16" borderId="10" xfId="0" applyNumberFormat="1" applyFont="1" applyFill="1" applyBorder="1" applyAlignment="1">
      <alignment horizontal="center" wrapText="1"/>
    </xf>
    <xf numFmtId="176" fontId="21" fillId="16" borderId="3" xfId="1" applyNumberFormat="1" applyFont="1" applyFill="1" applyBorder="1" applyAlignment="1">
      <alignment horizontal="center" wrapText="1"/>
    </xf>
    <xf numFmtId="176" fontId="21" fillId="16" borderId="32" xfId="1" applyNumberFormat="1" applyFont="1" applyFill="1" applyBorder="1" applyAlignment="1">
      <alignment horizontal="center" wrapText="1"/>
    </xf>
    <xf numFmtId="176" fontId="21" fillId="9" borderId="5" xfId="1" applyNumberFormat="1" applyFont="1" applyFill="1" applyBorder="1" applyAlignment="1">
      <alignment horizontal="center" wrapText="1"/>
    </xf>
    <xf numFmtId="176" fontId="21" fillId="9" borderId="3" xfId="1" applyNumberFormat="1" applyFont="1" applyFill="1" applyBorder="1" applyAlignment="1">
      <alignment horizontal="center" wrapText="1"/>
    </xf>
    <xf numFmtId="176" fontId="21" fillId="9" borderId="32" xfId="1" applyNumberFormat="1" applyFont="1" applyFill="1" applyBorder="1" applyAlignment="1">
      <alignment horizontal="center" wrapText="1"/>
    </xf>
    <xf numFmtId="176" fontId="21" fillId="16" borderId="5" xfId="1" applyNumberFormat="1" applyFont="1" applyFill="1" applyBorder="1" applyAlignment="1">
      <alignment horizontal="center" wrapText="1"/>
    </xf>
    <xf numFmtId="176" fontId="21" fillId="16" borderId="10" xfId="1" applyNumberFormat="1" applyFont="1" applyFill="1" applyBorder="1" applyAlignment="1">
      <alignment horizontal="center" wrapText="1"/>
    </xf>
    <xf numFmtId="0" fontId="30" fillId="14" borderId="3" xfId="0" applyFont="1" applyFill="1" applyBorder="1" applyAlignment="1">
      <alignment horizontal="centerContinuous"/>
    </xf>
    <xf numFmtId="0" fontId="0" fillId="0" borderId="0" xfId="0" applyAlignment="1">
      <alignment wrapText="1"/>
    </xf>
    <xf numFmtId="0" fontId="5" fillId="18" borderId="23" xfId="0" applyFont="1" applyFill="1" applyBorder="1" applyAlignment="1">
      <alignment horizontal="center"/>
    </xf>
    <xf numFmtId="0" fontId="5" fillId="18" borderId="22" xfId="0" applyFont="1" applyFill="1" applyBorder="1" applyAlignment="1">
      <alignment horizontal="center"/>
    </xf>
    <xf numFmtId="0" fontId="39" fillId="0" borderId="67" xfId="0" applyFont="1" applyBorder="1" applyAlignment="1">
      <alignment vertical="center" wrapText="1"/>
    </xf>
    <xf numFmtId="2" fontId="0" fillId="0" borderId="9" xfId="0" applyNumberFormat="1" applyBorder="1"/>
    <xf numFmtId="0" fontId="39" fillId="0" borderId="20" xfId="0" applyFont="1" applyBorder="1" applyAlignment="1">
      <alignment vertical="center" wrapText="1"/>
    </xf>
    <xf numFmtId="2" fontId="0" fillId="0" borderId="19" xfId="0" applyNumberFormat="1" applyBorder="1"/>
    <xf numFmtId="0" fontId="0" fillId="0" borderId="0" xfId="0" applyAlignment="1">
      <alignment horizontal="center" vertical="center"/>
    </xf>
    <xf numFmtId="0" fontId="0" fillId="0" borderId="0" xfId="0" applyAlignment="1">
      <alignment vertical="top"/>
    </xf>
    <xf numFmtId="0" fontId="41" fillId="18" borderId="0" xfId="0" applyFont="1" applyFill="1"/>
    <xf numFmtId="0" fontId="39" fillId="19" borderId="3" xfId="0" applyFont="1" applyFill="1" applyBorder="1" applyAlignment="1">
      <alignment vertical="center" wrapText="1"/>
    </xf>
    <xf numFmtId="0" fontId="39" fillId="0" borderId="3" xfId="0" applyFont="1" applyBorder="1" applyAlignment="1">
      <alignment vertical="center" wrapText="1"/>
    </xf>
    <xf numFmtId="0" fontId="40" fillId="18" borderId="3" xfId="0" applyFont="1" applyFill="1" applyBorder="1" applyAlignment="1">
      <alignment horizontal="center"/>
    </xf>
    <xf numFmtId="0" fontId="17" fillId="0" borderId="0" xfId="3" applyFont="1" applyFill="1" applyAlignment="1">
      <alignment vertical="top"/>
    </xf>
    <xf numFmtId="10" fontId="0" fillId="0" borderId="0" xfId="2" applyNumberFormat="1" applyFont="1" applyAlignment="1">
      <alignment horizontal="right"/>
    </xf>
    <xf numFmtId="10" fontId="0" fillId="0" borderId="16" xfId="2" applyNumberFormat="1" applyFont="1" applyBorder="1" applyAlignment="1">
      <alignment horizontal="right"/>
    </xf>
    <xf numFmtId="10" fontId="0" fillId="0" borderId="21" xfId="2" applyNumberFormat="1" applyFont="1" applyBorder="1" applyAlignment="1">
      <alignment horizontal="right"/>
    </xf>
    <xf numFmtId="10" fontId="6" fillId="0" borderId="4" xfId="2" applyNumberFormat="1" applyFont="1" applyFill="1" applyBorder="1" applyAlignment="1">
      <alignment horizontal="right"/>
    </xf>
    <xf numFmtId="10" fontId="6" fillId="0" borderId="0" xfId="2" applyNumberFormat="1" applyFont="1" applyFill="1" applyAlignment="1">
      <alignment horizontal="right"/>
    </xf>
    <xf numFmtId="10" fontId="6" fillId="0" borderId="22" xfId="2" applyNumberFormat="1" applyFont="1" applyFill="1" applyBorder="1" applyAlignment="1">
      <alignment horizontal="right"/>
    </xf>
    <xf numFmtId="10" fontId="6" fillId="0" borderId="11" xfId="2" applyNumberFormat="1" applyFont="1" applyFill="1" applyBorder="1" applyAlignment="1">
      <alignment horizontal="right"/>
    </xf>
    <xf numFmtId="10" fontId="7" fillId="0" borderId="4" xfId="2" applyNumberFormat="1" applyFont="1" applyFill="1" applyBorder="1" applyAlignment="1">
      <alignment horizontal="right"/>
    </xf>
    <xf numFmtId="10" fontId="7" fillId="0" borderId="0" xfId="2" applyNumberFormat="1" applyFont="1" applyFill="1" applyAlignment="1">
      <alignment horizontal="right"/>
    </xf>
    <xf numFmtId="10" fontId="7" fillId="0" borderId="15" xfId="2" applyNumberFormat="1" applyFont="1" applyFill="1" applyBorder="1" applyAlignment="1">
      <alignment horizontal="right"/>
    </xf>
    <xf numFmtId="10" fontId="7" fillId="0" borderId="0" xfId="2" applyNumberFormat="1" applyFont="1" applyFill="1" applyBorder="1" applyAlignment="1">
      <alignment horizontal="right"/>
    </xf>
    <xf numFmtId="10" fontId="6" fillId="0" borderId="15" xfId="2" applyNumberFormat="1" applyFont="1" applyFill="1" applyBorder="1" applyAlignment="1">
      <alignment horizontal="right"/>
    </xf>
    <xf numFmtId="10" fontId="6" fillId="0" borderId="16" xfId="2" applyNumberFormat="1" applyFont="1" applyFill="1" applyBorder="1" applyAlignment="1">
      <alignment horizontal="right"/>
    </xf>
    <xf numFmtId="10" fontId="6" fillId="0" borderId="0" xfId="2" applyNumberFormat="1" applyFont="1" applyFill="1" applyBorder="1" applyAlignment="1">
      <alignment horizontal="right"/>
    </xf>
    <xf numFmtId="10" fontId="6" fillId="0" borderId="21" xfId="2" applyNumberFormat="1" applyFont="1" applyFill="1" applyBorder="1" applyAlignment="1">
      <alignment horizontal="right"/>
    </xf>
    <xf numFmtId="10" fontId="6" fillId="0" borderId="17" xfId="2" applyNumberFormat="1" applyFont="1" applyFill="1" applyBorder="1" applyAlignment="1">
      <alignment horizontal="right"/>
    </xf>
    <xf numFmtId="10" fontId="6" fillId="0" borderId="18" xfId="2" applyNumberFormat="1" applyFont="1" applyFill="1" applyBorder="1" applyAlignment="1">
      <alignment horizontal="right"/>
    </xf>
    <xf numFmtId="10" fontId="6" fillId="0" borderId="23" xfId="2" applyNumberFormat="1" applyFont="1" applyFill="1" applyBorder="1" applyAlignment="1">
      <alignment horizontal="right"/>
    </xf>
    <xf numFmtId="10" fontId="7" fillId="0" borderId="16" xfId="2" applyNumberFormat="1" applyFont="1" applyFill="1" applyBorder="1" applyAlignment="1">
      <alignment horizontal="right"/>
    </xf>
    <xf numFmtId="10" fontId="7" fillId="0" borderId="21" xfId="2" applyNumberFormat="1" applyFont="1" applyFill="1" applyBorder="1" applyAlignment="1">
      <alignment horizontal="right"/>
    </xf>
    <xf numFmtId="10" fontId="6" fillId="0" borderId="26" xfId="2" applyNumberFormat="1" applyFont="1" applyFill="1" applyBorder="1" applyAlignment="1">
      <alignment horizontal="right"/>
    </xf>
    <xf numFmtId="10" fontId="6" fillId="0" borderId="25" xfId="2" applyNumberFormat="1" applyFont="1" applyFill="1" applyBorder="1" applyAlignment="1">
      <alignment horizontal="right"/>
    </xf>
    <xf numFmtId="10" fontId="6" fillId="0" borderId="27" xfId="2" applyNumberFormat="1" applyFont="1" applyFill="1" applyBorder="1" applyAlignment="1">
      <alignment horizontal="right"/>
    </xf>
    <xf numFmtId="10" fontId="6" fillId="0" borderId="28" xfId="2" applyNumberFormat="1" applyFont="1" applyFill="1" applyBorder="1" applyAlignment="1">
      <alignment horizontal="right"/>
    </xf>
    <xf numFmtId="10" fontId="6" fillId="0" borderId="29" xfId="2" applyNumberFormat="1" applyFont="1" applyFill="1" applyBorder="1" applyAlignment="1">
      <alignment horizontal="right"/>
    </xf>
    <xf numFmtId="171" fontId="6" fillId="6" borderId="3" xfId="1" applyNumberFormat="1" applyFont="1" applyFill="1" applyBorder="1" applyAlignment="1" applyProtection="1">
      <alignment horizontal="center"/>
    </xf>
    <xf numFmtId="171" fontId="6" fillId="0" borderId="3" xfId="1" applyNumberFormat="1" applyFont="1" applyFill="1" applyBorder="1" applyAlignment="1" applyProtection="1">
      <alignment horizontal="center"/>
    </xf>
    <xf numFmtId="171" fontId="6" fillId="0" borderId="0" xfId="1" applyNumberFormat="1" applyFont="1"/>
    <xf numFmtId="171" fontId="6" fillId="0" borderId="10" xfId="1" applyNumberFormat="1" applyFont="1" applyFill="1" applyBorder="1" applyAlignment="1" applyProtection="1">
      <alignment horizontal="center"/>
      <protection locked="0"/>
    </xf>
    <xf numFmtId="171" fontId="6" fillId="6" borderId="24" xfId="1" applyNumberFormat="1" applyFont="1" applyFill="1" applyBorder="1" applyAlignment="1" applyProtection="1">
      <alignment horizontal="center"/>
      <protection locked="0"/>
    </xf>
    <xf numFmtId="171" fontId="6" fillId="0" borderId="24" xfId="1" applyNumberFormat="1" applyFont="1" applyFill="1" applyBorder="1" applyAlignment="1" applyProtection="1">
      <alignment horizontal="center"/>
      <protection locked="0"/>
    </xf>
    <xf numFmtId="171" fontId="6" fillId="0" borderId="5" xfId="1" applyNumberFormat="1" applyFont="1" applyFill="1" applyBorder="1" applyAlignment="1" applyProtection="1">
      <alignment horizontal="center"/>
      <protection locked="0"/>
    </xf>
    <xf numFmtId="171" fontId="6" fillId="6" borderId="5" xfId="1" applyNumberFormat="1" applyFont="1" applyFill="1" applyBorder="1" applyAlignment="1" applyProtection="1">
      <alignment horizontal="center"/>
    </xf>
    <xf numFmtId="171" fontId="6" fillId="0" borderId="10" xfId="1" applyNumberFormat="1" applyFont="1" applyFill="1" applyBorder="1" applyAlignment="1" applyProtection="1">
      <alignment horizontal="center"/>
    </xf>
    <xf numFmtId="171" fontId="6" fillId="6" borderId="10" xfId="1" applyNumberFormat="1" applyFont="1" applyFill="1" applyBorder="1" applyAlignment="1" applyProtection="1">
      <alignment horizontal="center"/>
    </xf>
    <xf numFmtId="171" fontId="6" fillId="0" borderId="5" xfId="1" applyNumberFormat="1" applyFont="1" applyFill="1" applyBorder="1" applyAlignment="1" applyProtection="1">
      <alignment horizontal="center"/>
    </xf>
    <xf numFmtId="171" fontId="7" fillId="0" borderId="10" xfId="1" applyNumberFormat="1" applyFont="1" applyFill="1" applyBorder="1" applyAlignment="1" applyProtection="1">
      <alignment horizontal="center"/>
    </xf>
    <xf numFmtId="171" fontId="7" fillId="0" borderId="5" xfId="1" applyNumberFormat="1" applyFont="1" applyFill="1" applyBorder="1" applyAlignment="1" applyProtection="1">
      <alignment horizontal="center"/>
    </xf>
    <xf numFmtId="171" fontId="6" fillId="0" borderId="0" xfId="1" applyNumberFormat="1" applyFont="1" applyFill="1"/>
    <xf numFmtId="177" fontId="21" fillId="0" borderId="5" xfId="0" applyNumberFormat="1" applyFont="1" applyBorder="1" applyAlignment="1">
      <alignment horizontal="center"/>
    </xf>
    <xf numFmtId="177" fontId="21" fillId="0" borderId="3" xfId="0" applyNumberFormat="1" applyFont="1" applyBorder="1" applyAlignment="1">
      <alignment horizontal="center"/>
    </xf>
    <xf numFmtId="177" fontId="21" fillId="0" borderId="10" xfId="0" applyNumberFormat="1" applyFont="1" applyBorder="1" applyAlignment="1">
      <alignment horizontal="center"/>
    </xf>
    <xf numFmtId="176" fontId="21" fillId="0" borderId="10" xfId="0" applyNumberFormat="1" applyFont="1" applyBorder="1" applyAlignment="1">
      <alignment horizontal="center"/>
    </xf>
    <xf numFmtId="0" fontId="21" fillId="0" borderId="67" xfId="0" applyFont="1" applyBorder="1" applyAlignment="1">
      <alignment horizontal="center"/>
    </xf>
    <xf numFmtId="0" fontId="21" fillId="0" borderId="20" xfId="0" applyFont="1" applyBorder="1" applyAlignment="1">
      <alignment horizontal="center"/>
    </xf>
    <xf numFmtId="0" fontId="23" fillId="0" borderId="0" xfId="3" applyFont="1" applyFill="1" applyBorder="1"/>
    <xf numFmtId="0" fontId="16" fillId="8" borderId="3" xfId="0" applyFont="1" applyFill="1" applyBorder="1" applyAlignment="1">
      <alignment horizontal="centerContinuous" wrapText="1"/>
    </xf>
    <xf numFmtId="0" fontId="20" fillId="8" borderId="3" xfId="0" applyFont="1" applyFill="1" applyBorder="1" applyAlignment="1">
      <alignment horizontal="centerContinuous" wrapText="1"/>
    </xf>
    <xf numFmtId="0" fontId="21" fillId="3" borderId="37" xfId="0" applyFont="1" applyFill="1" applyBorder="1" applyAlignment="1">
      <alignment horizontal="left" indent="1"/>
    </xf>
    <xf numFmtId="172" fontId="21" fillId="9" borderId="15" xfId="1" applyNumberFormat="1" applyFont="1" applyFill="1" applyBorder="1"/>
    <xf numFmtId="172" fontId="21" fillId="9" borderId="0" xfId="1" applyNumberFormat="1" applyFont="1" applyFill="1" applyBorder="1"/>
    <xf numFmtId="172" fontId="21" fillId="9" borderId="16" xfId="1" applyNumberFormat="1" applyFont="1" applyFill="1" applyBorder="1"/>
    <xf numFmtId="171" fontId="21" fillId="0" borderId="15" xfId="1" applyNumberFormat="1" applyFont="1" applyFill="1" applyBorder="1"/>
    <xf numFmtId="171" fontId="21" fillId="0" borderId="0" xfId="1" applyNumberFormat="1" applyFont="1" applyFill="1" applyBorder="1"/>
    <xf numFmtId="171" fontId="21" fillId="0" borderId="16" xfId="1" applyNumberFormat="1" applyFont="1" applyFill="1" applyBorder="1"/>
    <xf numFmtId="171" fontId="21" fillId="0" borderId="16" xfId="1" applyNumberFormat="1" applyFont="1" applyBorder="1"/>
    <xf numFmtId="0" fontId="21" fillId="3" borderId="37" xfId="0" applyFont="1" applyFill="1" applyBorder="1" applyAlignment="1">
      <alignment horizontal="left" indent="2"/>
    </xf>
    <xf numFmtId="0" fontId="21" fillId="0" borderId="15" xfId="0" applyFont="1" applyBorder="1"/>
    <xf numFmtId="0" fontId="21" fillId="0" borderId="16" xfId="0" applyFont="1" applyBorder="1"/>
    <xf numFmtId="172" fontId="21" fillId="9" borderId="15" xfId="1" applyNumberFormat="1" applyFont="1" applyFill="1" applyBorder="1" applyAlignment="1">
      <alignment vertical="top"/>
    </xf>
    <xf numFmtId="172" fontId="21" fillId="9" borderId="0" xfId="1" applyNumberFormat="1" applyFont="1" applyFill="1" applyBorder="1" applyAlignment="1">
      <alignment vertical="top"/>
    </xf>
    <xf numFmtId="172" fontId="21" fillId="9" borderId="16" xfId="1" applyNumberFormat="1" applyFont="1" applyFill="1" applyBorder="1" applyAlignment="1">
      <alignment vertical="top"/>
    </xf>
    <xf numFmtId="171" fontId="21" fillId="0" borderId="15" xfId="1" applyNumberFormat="1" applyFont="1" applyBorder="1" applyAlignment="1">
      <alignment vertical="top"/>
    </xf>
    <xf numFmtId="171" fontId="21" fillId="0" borderId="0" xfId="1" applyNumberFormat="1" applyFont="1" applyBorder="1" applyAlignment="1">
      <alignment vertical="top"/>
    </xf>
    <xf numFmtId="171" fontId="21" fillId="0" borderId="16" xfId="1" applyNumberFormat="1" applyFont="1" applyBorder="1" applyAlignment="1">
      <alignment vertical="top"/>
    </xf>
    <xf numFmtId="172" fontId="21" fillId="0" borderId="77" xfId="1" applyNumberFormat="1" applyFont="1" applyFill="1" applyBorder="1" applyAlignment="1">
      <alignment vertical="top"/>
    </xf>
    <xf numFmtId="172" fontId="21" fillId="0" borderId="78" xfId="1" applyNumberFormat="1" applyFont="1" applyFill="1" applyBorder="1" applyAlignment="1">
      <alignment vertical="top"/>
    </xf>
    <xf numFmtId="172" fontId="21" fillId="0" borderId="79" xfId="1" applyNumberFormat="1" applyFont="1" applyFill="1" applyBorder="1" applyAlignment="1">
      <alignment vertical="top"/>
    </xf>
    <xf numFmtId="171" fontId="21" fillId="0" borderId="77" xfId="1" applyNumberFormat="1" applyFont="1" applyBorder="1"/>
    <xf numFmtId="171" fontId="21" fillId="0" borderId="78" xfId="1" applyNumberFormat="1" applyFont="1" applyBorder="1"/>
    <xf numFmtId="171" fontId="21" fillId="0" borderId="79" xfId="1" applyNumberFormat="1" applyFont="1" applyBorder="1"/>
    <xf numFmtId="0" fontId="21" fillId="0" borderId="38" xfId="0" applyFont="1" applyBorder="1" applyAlignment="1">
      <alignment horizontal="left" indent="1"/>
    </xf>
    <xf numFmtId="172" fontId="21" fillId="9" borderId="34" xfId="1" applyNumberFormat="1" applyFont="1" applyFill="1" applyBorder="1"/>
    <xf numFmtId="172" fontId="21" fillId="9" borderId="33" xfId="1" applyNumberFormat="1" applyFont="1" applyFill="1" applyBorder="1"/>
    <xf numFmtId="172" fontId="21" fillId="9" borderId="35" xfId="1" applyNumberFormat="1" applyFont="1" applyFill="1" applyBorder="1"/>
    <xf numFmtId="171" fontId="21" fillId="0" borderId="34" xfId="1" applyNumberFormat="1" applyFont="1" applyFill="1" applyBorder="1"/>
    <xf numFmtId="171" fontId="21" fillId="0" borderId="33" xfId="1" applyNumberFormat="1" applyFont="1" applyFill="1" applyBorder="1"/>
    <xf numFmtId="171" fontId="21" fillId="0" borderId="35" xfId="1" applyNumberFormat="1" applyFont="1" applyFill="1" applyBorder="1"/>
    <xf numFmtId="171" fontId="21" fillId="0" borderId="35" xfId="1" applyNumberFormat="1" applyFont="1" applyBorder="1"/>
    <xf numFmtId="0" fontId="16" fillId="8" borderId="3" xfId="0" applyFont="1" applyFill="1" applyBorder="1" applyAlignment="1">
      <alignment horizontal="left" wrapText="1"/>
    </xf>
    <xf numFmtId="0" fontId="16" fillId="8" borderId="3" xfId="0" applyFont="1" applyFill="1" applyBorder="1" applyAlignment="1">
      <alignment horizontal="center" wrapText="1"/>
    </xf>
    <xf numFmtId="0" fontId="42" fillId="0" borderId="12" xfId="0" applyFont="1" applyBorder="1" applyAlignment="1">
      <alignment horizontal="center" wrapText="1"/>
    </xf>
    <xf numFmtId="0" fontId="42" fillId="0" borderId="14" xfId="0" applyFont="1" applyBorder="1" applyAlignment="1">
      <alignment horizontal="center" wrapText="1"/>
    </xf>
    <xf numFmtId="0" fontId="42" fillId="0" borderId="13" xfId="0" applyFont="1" applyBorder="1" applyAlignment="1">
      <alignment horizontal="center" wrapText="1"/>
    </xf>
    <xf numFmtId="0" fontId="42" fillId="0" borderId="15" xfId="0" applyFont="1" applyBorder="1" applyAlignment="1">
      <alignment horizontal="center" wrapText="1"/>
    </xf>
    <xf numFmtId="0" fontId="42" fillId="0" borderId="16" xfId="0" applyFont="1" applyBorder="1" applyAlignment="1">
      <alignment horizontal="center" wrapText="1"/>
    </xf>
    <xf numFmtId="0" fontId="42" fillId="0" borderId="0" xfId="0" applyFont="1" applyAlignment="1">
      <alignment horizontal="center" wrapText="1"/>
    </xf>
    <xf numFmtId="0" fontId="18" fillId="0" borderId="15" xfId="0" applyFont="1" applyBorder="1"/>
    <xf numFmtId="0" fontId="21" fillId="0" borderId="15" xfId="0" applyFont="1" applyBorder="1" applyAlignment="1">
      <alignment horizontal="center"/>
    </xf>
    <xf numFmtId="0" fontId="21" fillId="0" borderId="16" xfId="0" applyFont="1" applyBorder="1" applyAlignment="1">
      <alignment horizontal="center"/>
    </xf>
    <xf numFmtId="171" fontId="21" fillId="9" borderId="15" xfId="1" applyNumberFormat="1" applyFont="1" applyFill="1" applyBorder="1"/>
    <xf numFmtId="171" fontId="21" fillId="9" borderId="0" xfId="1" applyNumberFormat="1" applyFont="1" applyFill="1" applyBorder="1"/>
    <xf numFmtId="171" fontId="21" fillId="9" borderId="34" xfId="1" applyNumberFormat="1" applyFont="1" applyFill="1" applyBorder="1"/>
    <xf numFmtId="171" fontId="21" fillId="9" borderId="33" xfId="1" applyNumberFormat="1" applyFont="1" applyFill="1" applyBorder="1"/>
    <xf numFmtId="0" fontId="18" fillId="0" borderId="37" xfId="0" applyFont="1" applyBorder="1"/>
    <xf numFmtId="0" fontId="43" fillId="3" borderId="37" xfId="0" applyFont="1" applyFill="1" applyBorder="1" applyAlignment="1">
      <alignment horizontal="left" indent="2"/>
    </xf>
    <xf numFmtId="0" fontId="43" fillId="3" borderId="38" xfId="0" applyFont="1" applyFill="1" applyBorder="1" applyAlignment="1">
      <alignment horizontal="left" indent="2"/>
    </xf>
    <xf numFmtId="0" fontId="20" fillId="8" borderId="3" xfId="0" applyFont="1" applyFill="1" applyBorder="1" applyAlignment="1">
      <alignment horizontal="center" vertical="center" wrapText="1"/>
    </xf>
    <xf numFmtId="0" fontId="20" fillId="8" borderId="24" xfId="0" applyFont="1" applyFill="1" applyBorder="1" applyAlignment="1">
      <alignment horizontal="center" vertical="center" wrapText="1"/>
    </xf>
    <xf numFmtId="179" fontId="21" fillId="0" borderId="0" xfId="1" applyNumberFormat="1" applyFont="1"/>
    <xf numFmtId="3" fontId="21" fillId="0" borderId="0" xfId="0" applyNumberFormat="1" applyFont="1"/>
    <xf numFmtId="174" fontId="21" fillId="0" borderId="0" xfId="0" applyNumberFormat="1" applyFont="1"/>
    <xf numFmtId="0" fontId="21" fillId="7" borderId="0" xfId="0" applyFont="1" applyFill="1"/>
    <xf numFmtId="174" fontId="21" fillId="7" borderId="0" xfId="0" applyNumberFormat="1" applyFont="1" applyFill="1"/>
    <xf numFmtId="0" fontId="0" fillId="0" borderId="0" xfId="0" quotePrefix="1"/>
    <xf numFmtId="10" fontId="21" fillId="7" borderId="0" xfId="2" applyNumberFormat="1" applyFont="1" applyFill="1"/>
    <xf numFmtId="176" fontId="21" fillId="6" borderId="3" xfId="0" applyNumberFormat="1" applyFont="1" applyFill="1" applyBorder="1"/>
    <xf numFmtId="176" fontId="21" fillId="6" borderId="10" xfId="0" applyNumberFormat="1" applyFont="1" applyFill="1" applyBorder="1"/>
    <xf numFmtId="0" fontId="30" fillId="21" borderId="5" xfId="0" applyFont="1" applyFill="1" applyBorder="1" applyAlignment="1">
      <alignment horizontal="center" vertical="center" wrapText="1"/>
    </xf>
    <xf numFmtId="0" fontId="20" fillId="8" borderId="3" xfId="0" applyFont="1" applyFill="1" applyBorder="1" applyAlignment="1">
      <alignment horizontal="center" wrapText="1"/>
    </xf>
    <xf numFmtId="165" fontId="24" fillId="9" borderId="36" xfId="1" applyNumberFormat="1" applyFont="1" applyFill="1" applyBorder="1"/>
    <xf numFmtId="6" fontId="24" fillId="9" borderId="12" xfId="0" applyNumberFormat="1" applyFont="1" applyFill="1" applyBorder="1"/>
    <xf numFmtId="6" fontId="24" fillId="9" borderId="13" xfId="0" applyNumberFormat="1" applyFont="1" applyFill="1" applyBorder="1"/>
    <xf numFmtId="6" fontId="21" fillId="0" borderId="14" xfId="0" applyNumberFormat="1" applyFont="1" applyBorder="1"/>
    <xf numFmtId="6" fontId="24" fillId="9" borderId="14" xfId="0" applyNumberFormat="1" applyFont="1" applyFill="1" applyBorder="1"/>
    <xf numFmtId="6" fontId="21" fillId="0" borderId="0" xfId="0" applyNumberFormat="1" applyFont="1"/>
    <xf numFmtId="6" fontId="21" fillId="0" borderId="36" xfId="0" applyNumberFormat="1" applyFont="1" applyBorder="1"/>
    <xf numFmtId="0" fontId="21" fillId="0" borderId="30" xfId="0" applyFont="1" applyBorder="1" applyAlignment="1">
      <alignment horizontal="center"/>
    </xf>
    <xf numFmtId="165" fontId="24" fillId="9" borderId="56" xfId="1" applyNumberFormat="1" applyFont="1" applyFill="1" applyBorder="1"/>
    <xf numFmtId="6" fontId="24" fillId="9" borderId="54" xfId="0" applyNumberFormat="1" applyFont="1" applyFill="1" applyBorder="1"/>
    <xf numFmtId="6" fontId="24" fillId="9" borderId="30" xfId="0" applyNumberFormat="1" applyFont="1" applyFill="1" applyBorder="1"/>
    <xf numFmtId="6" fontId="21" fillId="0" borderId="55" xfId="0" applyNumberFormat="1" applyFont="1" applyBorder="1"/>
    <xf numFmtId="6" fontId="24" fillId="9" borderId="55" xfId="0" applyNumberFormat="1" applyFont="1" applyFill="1" applyBorder="1"/>
    <xf numFmtId="6" fontId="21" fillId="0" borderId="30" xfId="0" applyNumberFormat="1" applyFont="1" applyBorder="1"/>
    <xf numFmtId="6" fontId="21" fillId="0" borderId="56" xfId="0" applyNumberFormat="1" applyFont="1" applyBorder="1"/>
    <xf numFmtId="165" fontId="24" fillId="9" borderId="37" xfId="1" applyNumberFormat="1" applyFont="1" applyFill="1" applyBorder="1"/>
    <xf numFmtId="6" fontId="24" fillId="9" borderId="15" xfId="0" applyNumberFormat="1" applyFont="1" applyFill="1" applyBorder="1"/>
    <xf numFmtId="6" fontId="24" fillId="9" borderId="0" xfId="0" applyNumberFormat="1" applyFont="1" applyFill="1"/>
    <xf numFmtId="6" fontId="21" fillId="0" borderId="16" xfId="0" applyNumberFormat="1" applyFont="1" applyBorder="1"/>
    <xf numFmtId="6" fontId="24" fillId="9" borderId="16" xfId="0" applyNumberFormat="1" applyFont="1" applyFill="1" applyBorder="1"/>
    <xf numFmtId="6" fontId="21" fillId="0" borderId="37" xfId="0" applyNumberFormat="1" applyFont="1" applyBorder="1"/>
    <xf numFmtId="0" fontId="21" fillId="0" borderId="11" xfId="0" applyFont="1" applyBorder="1" applyAlignment="1">
      <alignment horizontal="center"/>
    </xf>
    <xf numFmtId="165" fontId="24" fillId="9" borderId="57" xfId="1" applyNumberFormat="1" applyFont="1" applyFill="1" applyBorder="1"/>
    <xf numFmtId="6" fontId="24" fillId="9" borderId="17" xfId="0" applyNumberFormat="1" applyFont="1" applyFill="1" applyBorder="1"/>
    <xf numFmtId="6" fontId="24" fillId="9" borderId="11" xfId="0" applyNumberFormat="1" applyFont="1" applyFill="1" applyBorder="1"/>
    <xf numFmtId="6" fontId="21" fillId="0" borderId="18" xfId="0" applyNumberFormat="1" applyFont="1" applyBorder="1"/>
    <xf numFmtId="6" fontId="24" fillId="9" borderId="18" xfId="0" applyNumberFormat="1" applyFont="1" applyFill="1" applyBorder="1"/>
    <xf numFmtId="6" fontId="21" fillId="0" borderId="11" xfId="0" applyNumberFormat="1" applyFont="1" applyBorder="1"/>
    <xf numFmtId="6" fontId="21" fillId="0" borderId="57" xfId="0" applyNumberFormat="1" applyFont="1" applyBorder="1"/>
    <xf numFmtId="165" fontId="21" fillId="0" borderId="37" xfId="0" applyNumberFormat="1" applyFont="1" applyBorder="1"/>
    <xf numFmtId="6" fontId="21" fillId="0" borderId="15" xfId="0" applyNumberFormat="1" applyFont="1" applyBorder="1"/>
    <xf numFmtId="6" fontId="21" fillId="9" borderId="0" xfId="0" applyNumberFormat="1" applyFont="1" applyFill="1"/>
    <xf numFmtId="165" fontId="21" fillId="6" borderId="36" xfId="1" applyNumberFormat="1" applyFont="1" applyFill="1" applyBorder="1"/>
    <xf numFmtId="8" fontId="21" fillId="0" borderId="12" xfId="0" applyNumberFormat="1" applyFont="1" applyBorder="1" applyAlignment="1">
      <alignment horizontal="right"/>
    </xf>
    <xf numFmtId="8" fontId="21" fillId="0" borderId="13" xfId="0" applyNumberFormat="1" applyFont="1" applyBorder="1" applyAlignment="1">
      <alignment horizontal="right"/>
    </xf>
    <xf numFmtId="8" fontId="21" fillId="0" borderId="14" xfId="0" applyNumberFormat="1" applyFont="1" applyBorder="1" applyAlignment="1">
      <alignment horizontal="right"/>
    </xf>
    <xf numFmtId="8" fontId="21" fillId="0" borderId="0" xfId="0" applyNumberFormat="1" applyFont="1"/>
    <xf numFmtId="8" fontId="21" fillId="0" borderId="36" xfId="0" applyNumberFormat="1" applyFont="1" applyBorder="1" applyAlignment="1">
      <alignment horizontal="right"/>
    </xf>
    <xf numFmtId="165" fontId="21" fillId="6" borderId="56" xfId="1" applyNumberFormat="1" applyFont="1" applyFill="1" applyBorder="1"/>
    <xf numFmtId="8" fontId="21" fillId="0" borderId="54" xfId="0" applyNumberFormat="1" applyFont="1" applyBorder="1" applyAlignment="1">
      <alignment horizontal="right"/>
    </xf>
    <xf numFmtId="8" fontId="21" fillId="0" borderId="30" xfId="0" applyNumberFormat="1" applyFont="1" applyBorder="1" applyAlignment="1">
      <alignment horizontal="right"/>
    </xf>
    <xf numFmtId="8" fontId="21" fillId="0" borderId="55" xfId="0" applyNumberFormat="1" applyFont="1" applyBorder="1" applyAlignment="1">
      <alignment horizontal="right"/>
    </xf>
    <xf numFmtId="8" fontId="21" fillId="0" borderId="56" xfId="0" applyNumberFormat="1" applyFont="1" applyBorder="1" applyAlignment="1">
      <alignment horizontal="right"/>
    </xf>
    <xf numFmtId="165" fontId="21" fillId="6" borderId="37" xfId="1" applyNumberFormat="1" applyFont="1" applyFill="1" applyBorder="1"/>
    <xf numFmtId="8" fontId="21" fillId="0" borderId="15" xfId="0" applyNumberFormat="1" applyFont="1" applyBorder="1" applyAlignment="1">
      <alignment horizontal="right"/>
    </xf>
    <xf numFmtId="8" fontId="21" fillId="0" borderId="0" xfId="0" applyNumberFormat="1" applyFont="1" applyAlignment="1">
      <alignment horizontal="right"/>
    </xf>
    <xf numFmtId="8" fontId="21" fillId="0" borderId="16" xfId="0" applyNumberFormat="1" applyFont="1" applyBorder="1" applyAlignment="1">
      <alignment horizontal="right"/>
    </xf>
    <xf numFmtId="8" fontId="21" fillId="0" borderId="37" xfId="0" applyNumberFormat="1" applyFont="1" applyBorder="1" applyAlignment="1">
      <alignment horizontal="right"/>
    </xf>
    <xf numFmtId="165" fontId="21" fillId="6" borderId="57" xfId="1" applyNumberFormat="1" applyFont="1" applyFill="1" applyBorder="1"/>
    <xf numFmtId="8" fontId="21" fillId="0" borderId="17" xfId="0" applyNumberFormat="1" applyFont="1" applyBorder="1" applyAlignment="1">
      <alignment horizontal="right"/>
    </xf>
    <xf numFmtId="8" fontId="21" fillId="0" borderId="11" xfId="0" applyNumberFormat="1" applyFont="1" applyBorder="1" applyAlignment="1">
      <alignment horizontal="right"/>
    </xf>
    <xf numFmtId="8" fontId="21" fillId="0" borderId="18" xfId="0" applyNumberFormat="1" applyFont="1" applyBorder="1" applyAlignment="1">
      <alignment horizontal="right"/>
    </xf>
    <xf numFmtId="8" fontId="21" fillId="0" borderId="57" xfId="0" applyNumberFormat="1" applyFont="1" applyBorder="1" applyAlignment="1">
      <alignment horizontal="right"/>
    </xf>
    <xf numFmtId="165" fontId="21" fillId="6" borderId="37" xfId="0" applyNumberFormat="1" applyFont="1" applyFill="1" applyBorder="1"/>
    <xf numFmtId="0" fontId="21" fillId="20" borderId="80" xfId="0" applyFont="1" applyFill="1" applyBorder="1"/>
    <xf numFmtId="178" fontId="21" fillId="20" borderId="81" xfId="1" applyNumberFormat="1" applyFont="1" applyFill="1" applyBorder="1"/>
    <xf numFmtId="178" fontId="21" fillId="20" borderId="81" xfId="0" applyNumberFormat="1" applyFont="1" applyFill="1" applyBorder="1"/>
    <xf numFmtId="178" fontId="21" fillId="20" borderId="82" xfId="0" applyNumberFormat="1" applyFont="1" applyFill="1" applyBorder="1"/>
    <xf numFmtId="178" fontId="21" fillId="20" borderId="0" xfId="0" applyNumberFormat="1" applyFont="1" applyFill="1"/>
    <xf numFmtId="0" fontId="16" fillId="8" borderId="10" xfId="0" applyFont="1" applyFill="1" applyBorder="1" applyAlignment="1">
      <alignment horizontal="centerContinuous" vertical="center" wrapText="1"/>
    </xf>
    <xf numFmtId="0" fontId="21" fillId="20" borderId="83" xfId="0" applyFont="1" applyFill="1" applyBorder="1"/>
    <xf numFmtId="178" fontId="21" fillId="20" borderId="0" xfId="1" applyNumberFormat="1" applyFont="1" applyFill="1" applyBorder="1"/>
    <xf numFmtId="178" fontId="21" fillId="20" borderId="84" xfId="0" applyNumberFormat="1" applyFont="1" applyFill="1" applyBorder="1"/>
    <xf numFmtId="0" fontId="16" fillId="23" borderId="10" xfId="0" applyFont="1" applyFill="1" applyBorder="1" applyAlignment="1">
      <alignment horizontal="centerContinuous" vertical="center" wrapText="1"/>
    </xf>
    <xf numFmtId="0" fontId="16" fillId="23" borderId="3" xfId="0" applyFont="1" applyFill="1" applyBorder="1" applyAlignment="1">
      <alignment horizontal="centerContinuous" vertical="center" wrapText="1"/>
    </xf>
    <xf numFmtId="0" fontId="16" fillId="23" borderId="3" xfId="0" applyFont="1" applyFill="1" applyBorder="1" applyAlignment="1">
      <alignment horizontal="center" vertical="center" wrapText="1"/>
    </xf>
    <xf numFmtId="0" fontId="16" fillId="23" borderId="5" xfId="0" applyFont="1" applyFill="1" applyBorder="1" applyAlignment="1">
      <alignment horizontal="center" vertical="center" wrapText="1"/>
    </xf>
    <xf numFmtId="166" fontId="4" fillId="9" borderId="24" xfId="2" applyNumberFormat="1" applyFont="1" applyFill="1" applyBorder="1" applyAlignment="1" applyProtection="1">
      <alignment horizontal="center"/>
      <protection locked="0"/>
    </xf>
    <xf numFmtId="0" fontId="21" fillId="20" borderId="0" xfId="0" applyFont="1" applyFill="1" applyAlignment="1">
      <alignment horizontal="left" indent="1"/>
    </xf>
    <xf numFmtId="0" fontId="21" fillId="20" borderId="81" xfId="0" applyFont="1" applyFill="1" applyBorder="1" applyAlignment="1">
      <alignment horizontal="left" indent="1"/>
    </xf>
    <xf numFmtId="172" fontId="21" fillId="22" borderId="3" xfId="1" applyNumberFormat="1" applyFont="1" applyFill="1" applyBorder="1" applyAlignment="1">
      <alignment horizontal="center"/>
    </xf>
    <xf numFmtId="175" fontId="21" fillId="19" borderId="3" xfId="0" applyNumberFormat="1" applyFont="1" applyFill="1" applyBorder="1"/>
    <xf numFmtId="0" fontId="44" fillId="0" borderId="0" xfId="3" applyFont="1" applyFill="1"/>
    <xf numFmtId="0" fontId="21" fillId="16" borderId="80" xfId="0" applyFont="1" applyFill="1" applyBorder="1"/>
    <xf numFmtId="0" fontId="21" fillId="16" borderId="81" xfId="0" applyFont="1" applyFill="1" applyBorder="1" applyAlignment="1">
      <alignment horizontal="left" indent="1"/>
    </xf>
    <xf numFmtId="178" fontId="21" fillId="16" borderId="81" xfId="1" applyNumberFormat="1" applyFont="1" applyFill="1" applyBorder="1"/>
    <xf numFmtId="178" fontId="21" fillId="16" borderId="81" xfId="0" applyNumberFormat="1" applyFont="1" applyFill="1" applyBorder="1"/>
    <xf numFmtId="178" fontId="21" fillId="16" borderId="82" xfId="0" applyNumberFormat="1" applyFont="1" applyFill="1" applyBorder="1"/>
    <xf numFmtId="0" fontId="21" fillId="16" borderId="0" xfId="0" applyFont="1" applyFill="1"/>
    <xf numFmtId="179" fontId="21" fillId="16" borderId="0" xfId="1" applyNumberFormat="1" applyFont="1" applyFill="1"/>
    <xf numFmtId="3" fontId="21" fillId="16" borderId="0" xfId="0" applyNumberFormat="1" applyFont="1" applyFill="1"/>
    <xf numFmtId="174" fontId="21" fillId="16" borderId="0" xfId="0" applyNumberFormat="1" applyFont="1" applyFill="1"/>
    <xf numFmtId="0" fontId="21" fillId="3" borderId="38" xfId="0" applyFont="1" applyFill="1" applyBorder="1" applyAlignment="1">
      <alignment horizontal="left" indent="1"/>
    </xf>
    <xf numFmtId="0" fontId="16" fillId="8" borderId="5" xfId="0" applyFont="1" applyFill="1" applyBorder="1" applyAlignment="1">
      <alignment horizontal="centerContinuous" wrapText="1"/>
    </xf>
    <xf numFmtId="0" fontId="38" fillId="13" borderId="0" xfId="3" applyFont="1" applyFill="1"/>
    <xf numFmtId="10" fontId="21" fillId="0" borderId="42" xfId="2" applyNumberFormat="1" applyFont="1" applyFill="1" applyBorder="1" applyAlignment="1">
      <alignment horizontal="right"/>
    </xf>
    <xf numFmtId="0" fontId="21" fillId="3" borderId="37" xfId="0" applyFont="1" applyFill="1" applyBorder="1" applyAlignment="1">
      <alignment horizontal="left" indent="3"/>
    </xf>
    <xf numFmtId="0" fontId="21" fillId="3" borderId="37" xfId="0" applyFont="1" applyFill="1" applyBorder="1" applyAlignment="1">
      <alignment horizontal="left" vertical="top" wrapText="1" indent="3"/>
    </xf>
    <xf numFmtId="172" fontId="21" fillId="9" borderId="86" xfId="1" applyNumberFormat="1" applyFont="1" applyFill="1" applyBorder="1"/>
    <xf numFmtId="172" fontId="21" fillId="9" borderId="87" xfId="1" applyNumberFormat="1" applyFont="1" applyFill="1" applyBorder="1"/>
    <xf numFmtId="172" fontId="21" fillId="9" borderId="88" xfId="1" applyNumberFormat="1" applyFont="1" applyFill="1" applyBorder="1"/>
    <xf numFmtId="171" fontId="21" fillId="0" borderId="86" xfId="1" applyNumberFormat="1" applyFont="1" applyFill="1" applyBorder="1"/>
    <xf numFmtId="171" fontId="21" fillId="0" borderId="87" xfId="1" applyNumberFormat="1" applyFont="1" applyFill="1" applyBorder="1"/>
    <xf numFmtId="171" fontId="21" fillId="0" borderId="88" xfId="1" applyNumberFormat="1" applyFont="1" applyFill="1" applyBorder="1"/>
    <xf numFmtId="171" fontId="21" fillId="0" borderId="88" xfId="1" applyNumberFormat="1" applyFont="1" applyBorder="1"/>
    <xf numFmtId="0" fontId="21" fillId="3" borderId="76" xfId="0" applyFont="1" applyFill="1" applyBorder="1" applyAlignment="1">
      <alignment horizontal="left" vertical="top" indent="3"/>
    </xf>
    <xf numFmtId="0" fontId="18" fillId="3" borderId="85" xfId="0" applyFont="1" applyFill="1" applyBorder="1" applyAlignment="1">
      <alignment horizontal="left" vertical="top" indent="1"/>
    </xf>
    <xf numFmtId="0" fontId="21" fillId="0" borderId="86" xfId="0" applyFont="1" applyBorder="1"/>
    <xf numFmtId="0" fontId="21" fillId="0" borderId="87" xfId="0" applyFont="1" applyBorder="1"/>
    <xf numFmtId="0" fontId="21" fillId="0" borderId="88" xfId="0" applyFont="1" applyBorder="1"/>
    <xf numFmtId="0" fontId="43" fillId="3" borderId="85" xfId="0" applyFont="1" applyFill="1" applyBorder="1" applyAlignment="1">
      <alignment horizontal="left" indent="2"/>
    </xf>
    <xf numFmtId="171" fontId="21" fillId="9" borderId="86" xfId="1" applyNumberFormat="1" applyFont="1" applyFill="1" applyBorder="1"/>
    <xf numFmtId="171" fontId="21" fillId="9" borderId="87" xfId="1" applyNumberFormat="1" applyFont="1" applyFill="1" applyBorder="1"/>
    <xf numFmtId="0" fontId="21" fillId="3" borderId="85" xfId="0" applyFont="1" applyFill="1" applyBorder="1" applyAlignment="1">
      <alignment horizontal="left" indent="2"/>
    </xf>
    <xf numFmtId="0" fontId="21" fillId="3" borderId="38" xfId="0" applyFont="1" applyFill="1" applyBorder="1" applyAlignment="1">
      <alignment horizontal="left" indent="2"/>
    </xf>
    <xf numFmtId="178" fontId="21" fillId="0" borderId="0" xfId="0" applyNumberFormat="1" applyFont="1"/>
    <xf numFmtId="178" fontId="21" fillId="7" borderId="0" xfId="0" applyNumberFormat="1" applyFont="1" applyFill="1"/>
    <xf numFmtId="0" fontId="0" fillId="0" borderId="10" xfId="2" applyNumberFormat="1" applyFont="1" applyFill="1" applyBorder="1" applyAlignment="1" applyProtection="1">
      <alignment horizontal="center"/>
    </xf>
    <xf numFmtId="8" fontId="4" fillId="4" borderId="0" xfId="0" applyNumberFormat="1" applyFont="1" applyFill="1" applyAlignment="1">
      <alignment horizontal="right"/>
    </xf>
    <xf numFmtId="0" fontId="5" fillId="0" borderId="0" xfId="0" applyFont="1"/>
    <xf numFmtId="0" fontId="3" fillId="0" borderId="1" xfId="4" applyAlignment="1">
      <alignment wrapText="1"/>
    </xf>
    <xf numFmtId="0" fontId="5" fillId="0" borderId="0" xfId="0" applyFont="1" applyAlignment="1">
      <alignment wrapText="1"/>
    </xf>
    <xf numFmtId="0" fontId="45" fillId="0" borderId="0" xfId="3" applyFont="1" applyAlignment="1">
      <alignment horizontal="center" wrapText="1"/>
    </xf>
    <xf numFmtId="0" fontId="21" fillId="9" borderId="0" xfId="0" applyFont="1" applyFill="1" applyAlignment="1">
      <alignment horizontal="left" vertical="top" wrapText="1"/>
    </xf>
    <xf numFmtId="0" fontId="0" fillId="0" borderId="3" xfId="0" applyBorder="1" applyAlignment="1">
      <alignment horizontal="left" indent="1"/>
    </xf>
    <xf numFmtId="0" fontId="6" fillId="8" borderId="10" xfId="0" applyFont="1" applyFill="1" applyBorder="1" applyAlignment="1">
      <alignment horizontal="center" wrapText="1"/>
    </xf>
    <xf numFmtId="0" fontId="0" fillId="0" borderId="0" xfId="0" applyAlignment="1">
      <alignment horizontal="left" wrapText="1" indent="1"/>
    </xf>
    <xf numFmtId="0" fontId="0" fillId="0" borderId="0" xfId="0" applyAlignment="1">
      <alignment horizontal="left" vertical="top" wrapText="1" indent="1"/>
    </xf>
    <xf numFmtId="0" fontId="21" fillId="9" borderId="0" xfId="0" applyFont="1" applyFill="1" applyAlignment="1">
      <alignment horizontal="left" vertical="top" wrapText="1"/>
    </xf>
    <xf numFmtId="0" fontId="0" fillId="0" borderId="0" xfId="0" applyAlignment="1">
      <alignment wrapText="1"/>
    </xf>
    <xf numFmtId="0" fontId="32" fillId="9" borderId="9" xfId="5" applyFont="1" applyFill="1" applyBorder="1" applyAlignment="1">
      <alignment horizontal="left"/>
    </xf>
    <xf numFmtId="0" fontId="32" fillId="9" borderId="89" xfId="5" applyFont="1" applyFill="1" applyBorder="1" applyAlignment="1">
      <alignment horizontal="left"/>
    </xf>
    <xf numFmtId="0" fontId="32" fillId="9" borderId="67" xfId="5" applyFont="1" applyFill="1" applyBorder="1" applyAlignment="1">
      <alignment horizontal="left"/>
    </xf>
    <xf numFmtId="0" fontId="24" fillId="10" borderId="3" xfId="7" applyFont="1" applyBorder="1" applyAlignment="1">
      <alignment horizontal="left" indent="1"/>
    </xf>
    <xf numFmtId="49" fontId="4" fillId="9" borderId="3" xfId="5" applyNumberFormat="1" applyFill="1" applyBorder="1" applyAlignment="1">
      <alignment horizontal="left" vertical="top" wrapText="1"/>
    </xf>
    <xf numFmtId="0" fontId="18" fillId="11" borderId="3" xfId="0" applyFont="1" applyFill="1" applyBorder="1" applyAlignment="1">
      <alignment horizontal="center" vertical="center"/>
    </xf>
    <xf numFmtId="0" fontId="32" fillId="12" borderId="3" xfId="5" applyFont="1" applyFill="1" applyBorder="1" applyAlignment="1">
      <alignment horizontal="left" indent="1"/>
    </xf>
    <xf numFmtId="0" fontId="32" fillId="10" borderId="53" xfId="7" applyFont="1" applyAlignment="1">
      <alignment horizontal="left" indent="1"/>
    </xf>
    <xf numFmtId="0" fontId="0" fillId="0" borderId="5" xfId="0" applyBorder="1" applyAlignment="1">
      <alignment horizontal="center" vertical="top" wrapText="1"/>
    </xf>
    <xf numFmtId="0" fontId="0" fillId="0" borderId="3" xfId="0" applyBorder="1" applyAlignment="1">
      <alignment horizontal="center" vertical="top" wrapText="1"/>
    </xf>
    <xf numFmtId="0" fontId="0" fillId="0" borderId="3" xfId="0" applyBorder="1" applyAlignment="1">
      <alignment horizontal="center" wrapText="1"/>
    </xf>
    <xf numFmtId="0" fontId="0" fillId="0" borderId="3" xfId="0" applyBorder="1" applyAlignment="1">
      <alignment wrapText="1"/>
    </xf>
    <xf numFmtId="0" fontId="33" fillId="10" borderId="53" xfId="7" applyFont="1" applyAlignment="1">
      <alignment horizontal="left" indent="1"/>
    </xf>
    <xf numFmtId="0" fontId="34" fillId="10" borderId="53" xfId="7" applyFont="1" applyAlignment="1">
      <alignment horizontal="left" indent="2"/>
    </xf>
    <xf numFmtId="0" fontId="4" fillId="10" borderId="3" xfId="7" applyFont="1" applyBorder="1" applyAlignment="1">
      <alignment horizontal="left" indent="1"/>
    </xf>
    <xf numFmtId="0" fontId="0" fillId="0" borderId="3" xfId="0" applyBorder="1" applyAlignment="1">
      <alignment horizontal="left" indent="1"/>
    </xf>
    <xf numFmtId="0" fontId="16" fillId="8" borderId="10" xfId="0" applyFont="1" applyFill="1" applyBorder="1" applyAlignment="1">
      <alignment horizontal="center" wrapText="1"/>
    </xf>
    <xf numFmtId="0" fontId="18" fillId="0" borderId="5" xfId="0" applyFont="1" applyBorder="1" applyAlignment="1">
      <alignment horizontal="center" wrapText="1"/>
    </xf>
    <xf numFmtId="0" fontId="24" fillId="10" borderId="68" xfId="7" applyFont="1" applyBorder="1" applyAlignment="1">
      <alignment horizontal="left" indent="1"/>
    </xf>
    <xf numFmtId="0" fontId="24" fillId="10" borderId="69" xfId="7" applyFont="1" applyBorder="1" applyAlignment="1">
      <alignment horizontal="left" indent="1"/>
    </xf>
    <xf numFmtId="0" fontId="21" fillId="0" borderId="69" xfId="0" applyFont="1" applyBorder="1" applyAlignment="1">
      <alignment horizontal="left" indent="1"/>
    </xf>
    <xf numFmtId="0" fontId="21" fillId="0" borderId="70" xfId="0" applyFont="1" applyBorder="1" applyAlignment="1">
      <alignment horizontal="left" indent="1"/>
    </xf>
    <xf numFmtId="0" fontId="6" fillId="8" borderId="10" xfId="0" applyFont="1" applyFill="1" applyBorder="1" applyAlignment="1">
      <alignment horizontal="center" wrapText="1"/>
    </xf>
    <xf numFmtId="0" fontId="0" fillId="0" borderId="24" xfId="0" applyBorder="1" applyAlignment="1">
      <alignment horizontal="center" wrapText="1"/>
    </xf>
    <xf numFmtId="0" fontId="0" fillId="0" borderId="5" xfId="0" applyBorder="1" applyAlignment="1">
      <alignment horizontal="center" wrapText="1"/>
    </xf>
    <xf numFmtId="0" fontId="7" fillId="8" borderId="19" xfId="0" applyFont="1" applyFill="1" applyBorder="1" applyAlignment="1">
      <alignment horizontal="center" wrapText="1"/>
    </xf>
    <xf numFmtId="0" fontId="0" fillId="0" borderId="20" xfId="0" applyBorder="1" applyAlignment="1">
      <alignment horizontal="center" wrapText="1"/>
    </xf>
    <xf numFmtId="0" fontId="0" fillId="0" borderId="4" xfId="0" applyBorder="1" applyAlignment="1">
      <alignment horizontal="center" wrapText="1"/>
    </xf>
    <xf numFmtId="0" fontId="0" fillId="0" borderId="21" xfId="0" applyBorder="1" applyAlignment="1">
      <alignment horizontal="center" wrapText="1"/>
    </xf>
  </cellXfs>
  <cellStyles count="8">
    <cellStyle name="Comma" xfId="1" builtinId="3"/>
    <cellStyle name="Heading 1" xfId="4" builtinId="16"/>
    <cellStyle name="Heading 2" xfId="6" builtinId="17"/>
    <cellStyle name="Input" xfId="5" builtinId="20"/>
    <cellStyle name="Normal" xfId="0" builtinId="0"/>
    <cellStyle name="Output" xfId="7" builtinId="21"/>
    <cellStyle name="Percent" xfId="2" builtinId="5"/>
    <cellStyle name="Title" xfId="3" builtinId="15"/>
  </cellStyles>
  <dxfs count="206">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strike val="0"/>
        <outline val="0"/>
        <shadow val="0"/>
        <u val="none"/>
        <vertAlign val="baseline"/>
        <sz val="12"/>
        <name val="Calibri"/>
        <family val="2"/>
        <scheme val="minor"/>
      </font>
      <numFmt numFmtId="0" formatCode="General"/>
      <fill>
        <patternFill patternType="solid">
          <fgColor indexed="64"/>
          <bgColor theme="4" tint="0.79998168889431442"/>
        </patternFill>
      </fill>
    </dxf>
    <dxf>
      <font>
        <strike val="0"/>
        <outline val="0"/>
        <shadow val="0"/>
        <u val="none"/>
        <vertAlign val="baseline"/>
        <sz val="12"/>
        <name val="Calibri"/>
        <family val="2"/>
        <scheme val="minor"/>
      </font>
      <numFmt numFmtId="178" formatCode="#,##0.0000"/>
      <fill>
        <patternFill patternType="solid">
          <fgColor indexed="64"/>
          <bgColor theme="4" tint="0.79998168889431442"/>
        </patternFill>
      </fill>
    </dxf>
    <dxf>
      <font>
        <strike val="0"/>
        <outline val="0"/>
        <shadow val="0"/>
        <u val="none"/>
        <vertAlign val="baseline"/>
        <sz val="12"/>
        <name val="Calibri"/>
        <family val="2"/>
        <scheme val="minor"/>
      </font>
      <numFmt numFmtId="14" formatCode="0.00%"/>
      <fill>
        <patternFill patternType="solid">
          <fgColor indexed="64"/>
          <bgColor theme="4" tint="0.79998168889431442"/>
        </patternFill>
      </fill>
    </dxf>
    <dxf>
      <font>
        <strike val="0"/>
        <outline val="0"/>
        <shadow val="0"/>
        <u val="none"/>
        <vertAlign val="baseline"/>
        <sz val="12"/>
        <name val="Calibri"/>
        <family val="2"/>
        <scheme val="minor"/>
      </font>
      <numFmt numFmtId="178" formatCode="#,##0.0000"/>
      <fill>
        <patternFill patternType="none">
          <fgColor indexed="64"/>
          <bgColor auto="1"/>
        </patternFill>
      </fill>
    </dxf>
    <dxf>
      <font>
        <strike val="0"/>
        <outline val="0"/>
        <shadow val="0"/>
        <u val="none"/>
        <vertAlign val="baseline"/>
        <sz val="12"/>
        <name val="Calibri"/>
        <family val="2"/>
        <scheme val="minor"/>
      </font>
      <numFmt numFmtId="178" formatCode="#,##0.0000"/>
      <fill>
        <patternFill patternType="none">
          <fgColor indexed="64"/>
          <bgColor auto="1"/>
        </patternFill>
      </fill>
    </dxf>
    <dxf>
      <font>
        <strike val="0"/>
        <outline val="0"/>
        <shadow val="0"/>
        <u val="none"/>
        <vertAlign val="baseline"/>
        <sz val="12"/>
        <name val="Calibri"/>
        <family val="2"/>
        <scheme val="minor"/>
      </font>
      <numFmt numFmtId="178" formatCode="#,##0.0000"/>
      <fill>
        <patternFill patternType="none">
          <fgColor indexed="64"/>
          <bgColor auto="1"/>
        </patternFill>
      </fill>
    </dxf>
    <dxf>
      <font>
        <strike val="0"/>
        <outline val="0"/>
        <shadow val="0"/>
        <u val="none"/>
        <vertAlign val="baseline"/>
        <sz val="12"/>
        <name val="Calibri"/>
        <family val="2"/>
        <scheme val="minor"/>
      </font>
      <numFmt numFmtId="178" formatCode="#,##0.0000"/>
      <fill>
        <patternFill patternType="none">
          <fgColor indexed="64"/>
          <bgColor auto="1"/>
        </patternFill>
      </fill>
    </dxf>
    <dxf>
      <font>
        <b val="0"/>
        <i val="0"/>
        <strike val="0"/>
        <condense val="0"/>
        <extend val="0"/>
        <outline val="0"/>
        <shadow val="0"/>
        <u val="none"/>
        <vertAlign val="baseline"/>
        <sz val="12"/>
        <color theme="1"/>
        <name val="Calibri"/>
        <family val="2"/>
        <scheme val="minor"/>
      </font>
      <fill>
        <patternFill patternType="none">
          <fgColor indexed="64"/>
          <bgColor auto="1"/>
        </patternFill>
      </fill>
    </dxf>
    <dxf>
      <font>
        <b val="0"/>
        <i val="0"/>
        <strike val="0"/>
        <condense val="0"/>
        <extend val="0"/>
        <outline val="0"/>
        <shadow val="0"/>
        <u val="none"/>
        <vertAlign val="baseline"/>
        <sz val="12"/>
        <color theme="1"/>
        <name val="Calibri"/>
        <family val="2"/>
        <scheme val="minor"/>
      </font>
      <fill>
        <patternFill patternType="none">
          <fgColor indexed="64"/>
          <bgColor auto="1"/>
        </patternFill>
      </fill>
    </dxf>
    <dxf>
      <font>
        <b val="0"/>
        <i val="0"/>
        <strike val="0"/>
        <condense val="0"/>
        <extend val="0"/>
        <outline val="0"/>
        <shadow val="0"/>
        <u val="none"/>
        <vertAlign val="baseline"/>
        <sz val="12"/>
        <color theme="1"/>
        <name val="Calibri"/>
        <family val="2"/>
        <scheme val="minor"/>
      </font>
      <fill>
        <patternFill patternType="none">
          <fgColor indexed="64"/>
          <bgColor auto="1"/>
        </patternFill>
      </fill>
    </dxf>
    <dxf>
      <font>
        <strike val="0"/>
        <outline val="0"/>
        <shadow val="0"/>
        <u val="none"/>
        <vertAlign val="baseline"/>
        <sz val="12"/>
        <name val="Calibri"/>
        <family val="2"/>
        <scheme val="minor"/>
      </font>
      <fill>
        <patternFill patternType="none">
          <fgColor indexed="64"/>
          <bgColor auto="1"/>
        </patternFill>
      </fill>
    </dxf>
    <dxf>
      <font>
        <strike val="0"/>
        <outline val="0"/>
        <shadow val="0"/>
        <u val="none"/>
        <vertAlign val="baseline"/>
        <sz val="12"/>
        <name val="Calibri"/>
        <family val="2"/>
        <scheme val="minor"/>
      </font>
      <fill>
        <patternFill patternType="none">
          <fgColor indexed="64"/>
          <bgColor auto="1"/>
        </patternFill>
      </fill>
    </dxf>
    <dxf>
      <font>
        <strike val="0"/>
        <outline val="0"/>
        <shadow val="0"/>
        <u val="none"/>
        <vertAlign val="baseline"/>
        <sz val="12"/>
        <name val="Calibri"/>
        <family val="2"/>
        <scheme val="none"/>
      </font>
    </dxf>
    <dxf>
      <border>
        <bottom style="thin">
          <color rgb="FF000000"/>
        </bottom>
      </border>
    </dxf>
    <dxf>
      <font>
        <b val="0"/>
        <i val="0"/>
        <strike val="0"/>
        <condense val="0"/>
        <extend val="0"/>
        <outline val="0"/>
        <shadow val="0"/>
        <u val="none"/>
        <vertAlign val="baseline"/>
        <sz val="12"/>
        <color auto="1"/>
        <name val="Calibri"/>
        <family val="2"/>
        <scheme val="minor"/>
      </font>
      <fill>
        <patternFill patternType="solid">
          <fgColor indexed="64"/>
          <bgColor rgb="FFB7DCFA"/>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family val="2"/>
        <scheme val="minor"/>
      </font>
      <numFmt numFmtId="0" formatCode="General"/>
      <fill>
        <patternFill patternType="solid">
          <fgColor indexed="64"/>
          <bgColor theme="4" tint="0.79998168889431442"/>
        </patternFill>
      </fill>
    </dxf>
    <dxf>
      <font>
        <strike val="0"/>
        <outline val="0"/>
        <shadow val="0"/>
        <u val="none"/>
        <vertAlign val="baseline"/>
        <sz val="12"/>
        <name val="Calibri"/>
        <family val="2"/>
        <scheme val="minor"/>
      </font>
      <numFmt numFmtId="178" formatCode="#,##0.0000"/>
      <fill>
        <patternFill patternType="solid">
          <fgColor indexed="64"/>
          <bgColor theme="4" tint="0.79998168889431442"/>
        </patternFill>
      </fill>
    </dxf>
    <dxf>
      <font>
        <strike val="0"/>
        <outline val="0"/>
        <shadow val="0"/>
        <u val="none"/>
        <vertAlign val="baseline"/>
        <sz val="12"/>
        <name val="Calibri"/>
        <family val="2"/>
        <scheme val="minor"/>
      </font>
      <numFmt numFmtId="14" formatCode="0.00%"/>
      <fill>
        <patternFill patternType="solid">
          <fgColor indexed="64"/>
          <bgColor theme="4" tint="0.79998168889431442"/>
        </patternFill>
      </fill>
    </dxf>
    <dxf>
      <font>
        <strike val="0"/>
        <outline val="0"/>
        <shadow val="0"/>
        <u val="none"/>
        <vertAlign val="baseline"/>
        <sz val="12"/>
        <name val="Calibri"/>
        <family val="2"/>
        <scheme val="minor"/>
      </font>
      <numFmt numFmtId="178" formatCode="#,##0.0000"/>
      <fill>
        <patternFill patternType="none">
          <fgColor indexed="64"/>
          <bgColor auto="1"/>
        </patternFill>
      </fill>
    </dxf>
    <dxf>
      <font>
        <strike val="0"/>
        <outline val="0"/>
        <shadow val="0"/>
        <u val="none"/>
        <vertAlign val="baseline"/>
        <sz val="12"/>
        <name val="Calibri"/>
        <family val="2"/>
        <scheme val="minor"/>
      </font>
      <numFmt numFmtId="178" formatCode="#,##0.0000"/>
      <fill>
        <patternFill patternType="none">
          <fgColor indexed="64"/>
          <bgColor auto="1"/>
        </patternFill>
      </fill>
    </dxf>
    <dxf>
      <font>
        <strike val="0"/>
        <outline val="0"/>
        <shadow val="0"/>
        <u val="none"/>
        <vertAlign val="baseline"/>
        <sz val="12"/>
        <name val="Calibri"/>
        <family val="2"/>
        <scheme val="minor"/>
      </font>
      <numFmt numFmtId="178" formatCode="#,##0.0000"/>
      <fill>
        <patternFill patternType="none">
          <fgColor indexed="64"/>
          <bgColor auto="1"/>
        </patternFill>
      </fill>
    </dxf>
    <dxf>
      <font>
        <strike val="0"/>
        <outline val="0"/>
        <shadow val="0"/>
        <u val="none"/>
        <vertAlign val="baseline"/>
        <sz val="12"/>
        <name val="Calibri"/>
        <family val="2"/>
        <scheme val="minor"/>
      </font>
      <numFmt numFmtId="178" formatCode="#,##0.0000"/>
      <fill>
        <patternFill patternType="none">
          <fgColor indexed="64"/>
          <bgColor auto="1"/>
        </patternFill>
      </fill>
    </dxf>
    <dxf>
      <font>
        <b val="0"/>
        <i val="0"/>
        <strike val="0"/>
        <condense val="0"/>
        <extend val="0"/>
        <outline val="0"/>
        <shadow val="0"/>
        <u val="none"/>
        <vertAlign val="baseline"/>
        <sz val="12"/>
        <color theme="1"/>
        <name val="Calibri"/>
        <family val="2"/>
        <scheme val="minor"/>
      </font>
      <fill>
        <patternFill patternType="none">
          <fgColor indexed="64"/>
          <bgColor auto="1"/>
        </patternFill>
      </fill>
    </dxf>
    <dxf>
      <font>
        <b val="0"/>
        <i val="0"/>
        <strike val="0"/>
        <condense val="0"/>
        <extend val="0"/>
        <outline val="0"/>
        <shadow val="0"/>
        <u val="none"/>
        <vertAlign val="baseline"/>
        <sz val="12"/>
        <color theme="1"/>
        <name val="Calibri"/>
        <family val="2"/>
        <scheme val="minor"/>
      </font>
      <fill>
        <patternFill patternType="none">
          <fgColor indexed="64"/>
          <bgColor auto="1"/>
        </patternFill>
      </fill>
    </dxf>
    <dxf>
      <font>
        <b val="0"/>
        <i val="0"/>
        <strike val="0"/>
        <condense val="0"/>
        <extend val="0"/>
        <outline val="0"/>
        <shadow val="0"/>
        <u val="none"/>
        <vertAlign val="baseline"/>
        <sz val="12"/>
        <color theme="1"/>
        <name val="Calibri"/>
        <family val="2"/>
        <scheme val="minor"/>
      </font>
      <fill>
        <patternFill patternType="none">
          <fgColor indexed="64"/>
          <bgColor auto="1"/>
        </patternFill>
      </fill>
    </dxf>
    <dxf>
      <font>
        <strike val="0"/>
        <outline val="0"/>
        <shadow val="0"/>
        <u val="none"/>
        <vertAlign val="baseline"/>
        <sz val="12"/>
        <name val="Calibri"/>
        <family val="2"/>
        <scheme val="minor"/>
      </font>
      <fill>
        <patternFill patternType="none">
          <fgColor indexed="64"/>
          <bgColor auto="1"/>
        </patternFill>
      </fill>
    </dxf>
    <dxf>
      <font>
        <strike val="0"/>
        <outline val="0"/>
        <shadow val="0"/>
        <u val="none"/>
        <vertAlign val="baseline"/>
        <sz val="12"/>
        <name val="Calibri"/>
        <family val="2"/>
        <scheme val="minor"/>
      </font>
      <fill>
        <patternFill patternType="none">
          <fgColor indexed="64"/>
          <bgColor auto="1"/>
        </patternFill>
      </fill>
    </dxf>
    <dxf>
      <font>
        <strike val="0"/>
        <outline val="0"/>
        <shadow val="0"/>
        <u val="none"/>
        <vertAlign val="baseline"/>
        <sz val="12"/>
        <name val="Calibri"/>
        <family val="2"/>
        <scheme val="none"/>
      </font>
    </dxf>
    <dxf>
      <border>
        <bottom style="thin">
          <color rgb="FF000000"/>
        </bottom>
      </border>
    </dxf>
    <dxf>
      <font>
        <b val="0"/>
        <i val="0"/>
        <strike val="0"/>
        <condense val="0"/>
        <extend val="0"/>
        <outline val="0"/>
        <shadow val="0"/>
        <u val="none"/>
        <vertAlign val="baseline"/>
        <sz val="12"/>
        <color auto="1"/>
        <name val="Calibri"/>
        <family val="2"/>
        <scheme val="minor"/>
      </font>
      <fill>
        <patternFill patternType="solid">
          <fgColor indexed="64"/>
          <bgColor rgb="FFB7DCFA"/>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family val="2"/>
        <scheme val="minor"/>
      </font>
      <numFmt numFmtId="174" formatCode="&quot;$&quot;#,##0"/>
      <fill>
        <patternFill patternType="solid">
          <fgColor indexed="64"/>
          <bgColor theme="4" tint="0.79998168889431442"/>
        </patternFill>
      </fill>
    </dxf>
    <dxf>
      <font>
        <strike val="0"/>
        <outline val="0"/>
        <shadow val="0"/>
        <u val="none"/>
        <vertAlign val="baseline"/>
        <sz val="12"/>
        <name val="Calibri"/>
        <family val="2"/>
        <scheme val="minor"/>
      </font>
      <numFmt numFmtId="174" formatCode="&quot;$&quot;#,##0"/>
    </dxf>
    <dxf>
      <font>
        <strike val="0"/>
        <outline val="0"/>
        <shadow val="0"/>
        <u val="none"/>
        <vertAlign val="baseline"/>
        <sz val="12"/>
        <name val="Calibri"/>
        <family val="2"/>
        <scheme val="minor"/>
      </font>
      <numFmt numFmtId="0" formatCode="General"/>
      <fill>
        <patternFill patternType="solid">
          <fgColor indexed="64"/>
          <bgColor theme="4" tint="0.79998168889431442"/>
        </patternFill>
      </fill>
    </dxf>
    <dxf>
      <font>
        <strike val="0"/>
        <outline val="0"/>
        <shadow val="0"/>
        <u val="none"/>
        <vertAlign val="baseline"/>
        <sz val="12"/>
        <name val="Calibri"/>
        <family val="2"/>
        <scheme val="minor"/>
      </font>
      <numFmt numFmtId="174" formatCode="&quot;$&quot;#,##0"/>
    </dxf>
    <dxf>
      <font>
        <strike val="0"/>
        <outline val="0"/>
        <shadow val="0"/>
        <u val="none"/>
        <vertAlign val="baseline"/>
        <sz val="12"/>
        <name val="Calibri"/>
        <family val="2"/>
        <scheme val="minor"/>
      </font>
      <numFmt numFmtId="0" formatCode="General"/>
      <fill>
        <patternFill patternType="solid">
          <fgColor indexed="64"/>
          <bgColor theme="4" tint="0.79998168889431442"/>
        </patternFill>
      </fill>
    </dxf>
    <dxf>
      <font>
        <strike val="0"/>
        <outline val="0"/>
        <shadow val="0"/>
        <u val="none"/>
        <vertAlign val="baseline"/>
        <sz val="12"/>
        <name val="Calibri"/>
        <family val="2"/>
        <scheme val="minor"/>
      </font>
      <numFmt numFmtId="174" formatCode="&quot;$&quot;#,##0"/>
    </dxf>
    <dxf>
      <font>
        <strike val="0"/>
        <outline val="0"/>
        <shadow val="0"/>
        <u val="none"/>
        <vertAlign val="baseline"/>
        <sz val="12"/>
        <name val="Calibri"/>
        <family val="2"/>
        <scheme val="minor"/>
      </font>
      <numFmt numFmtId="174" formatCode="&quot;$&quot;#,##0"/>
    </dxf>
    <dxf>
      <font>
        <strike val="0"/>
        <outline val="0"/>
        <shadow val="0"/>
        <u val="none"/>
        <vertAlign val="baseline"/>
        <sz val="12"/>
        <name val="Calibri"/>
        <family val="2"/>
        <scheme val="minor"/>
      </font>
      <numFmt numFmtId="3" formatCode="#,##0"/>
    </dxf>
    <dxf>
      <font>
        <strike val="0"/>
        <outline val="0"/>
        <shadow val="0"/>
        <u val="none"/>
        <vertAlign val="baseline"/>
        <sz val="12"/>
        <name val="Calibri"/>
        <family val="2"/>
        <scheme val="minor"/>
      </font>
      <numFmt numFmtId="179" formatCode="_(* #,##0.0000_);_(* \(#,##0.0000\);_(* &quot;-&quot;????_);_(@_)"/>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none"/>
      </font>
    </dxf>
    <dxf>
      <font>
        <b val="0"/>
        <i val="0"/>
        <strike val="0"/>
        <condense val="0"/>
        <extend val="0"/>
        <outline val="0"/>
        <shadow val="0"/>
        <u val="none"/>
        <vertAlign val="baseline"/>
        <sz val="12"/>
        <color auto="1"/>
        <name val="Calibri"/>
        <family val="2"/>
        <scheme val="minor"/>
      </font>
      <fill>
        <patternFill patternType="solid">
          <fgColor indexed="64"/>
          <bgColor rgb="FFB7DCFA"/>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family val="2"/>
        <scheme val="minor"/>
      </font>
      <numFmt numFmtId="174" formatCode="&quot;$&quot;#,##0"/>
      <fill>
        <patternFill patternType="solid">
          <fgColor indexed="64"/>
          <bgColor theme="4" tint="0.79998168889431442"/>
        </patternFill>
      </fill>
    </dxf>
    <dxf>
      <font>
        <strike val="0"/>
        <outline val="0"/>
        <shadow val="0"/>
        <u val="none"/>
        <vertAlign val="baseline"/>
        <sz val="12"/>
        <name val="Calibri"/>
        <family val="2"/>
        <scheme val="minor"/>
      </font>
      <numFmt numFmtId="174" formatCode="&quot;$&quot;#,##0"/>
    </dxf>
    <dxf>
      <font>
        <strike val="0"/>
        <outline val="0"/>
        <shadow val="0"/>
        <u val="none"/>
        <vertAlign val="baseline"/>
        <sz val="12"/>
        <name val="Calibri"/>
        <family val="2"/>
        <scheme val="minor"/>
      </font>
      <numFmt numFmtId="0" formatCode="General"/>
      <fill>
        <patternFill patternType="solid">
          <fgColor indexed="64"/>
          <bgColor theme="4" tint="0.79998168889431442"/>
        </patternFill>
      </fill>
    </dxf>
    <dxf>
      <font>
        <strike val="0"/>
        <outline val="0"/>
        <shadow val="0"/>
        <u val="none"/>
        <vertAlign val="baseline"/>
        <sz val="12"/>
        <name val="Calibri"/>
        <family val="2"/>
        <scheme val="minor"/>
      </font>
      <numFmt numFmtId="174" formatCode="&quot;$&quot;#,##0"/>
    </dxf>
    <dxf>
      <font>
        <strike val="0"/>
        <outline val="0"/>
        <shadow val="0"/>
        <u val="none"/>
        <vertAlign val="baseline"/>
        <sz val="12"/>
        <name val="Calibri"/>
        <family val="2"/>
        <scheme val="minor"/>
      </font>
      <numFmt numFmtId="0" formatCode="General"/>
      <fill>
        <patternFill patternType="solid">
          <fgColor indexed="64"/>
          <bgColor theme="4" tint="0.79998168889431442"/>
        </patternFill>
      </fill>
    </dxf>
    <dxf>
      <font>
        <strike val="0"/>
        <outline val="0"/>
        <shadow val="0"/>
        <u val="none"/>
        <vertAlign val="baseline"/>
        <sz val="12"/>
        <name val="Calibri"/>
        <family val="2"/>
        <scheme val="minor"/>
      </font>
      <numFmt numFmtId="174" formatCode="&quot;$&quot;#,##0"/>
    </dxf>
    <dxf>
      <font>
        <strike val="0"/>
        <outline val="0"/>
        <shadow val="0"/>
        <u val="none"/>
        <vertAlign val="baseline"/>
        <sz val="12"/>
        <name val="Calibri"/>
        <family val="2"/>
        <scheme val="minor"/>
      </font>
      <numFmt numFmtId="174" formatCode="&quot;$&quot;#,##0"/>
    </dxf>
    <dxf>
      <font>
        <strike val="0"/>
        <outline val="0"/>
        <shadow val="0"/>
        <u val="none"/>
        <vertAlign val="baseline"/>
        <sz val="12"/>
        <name val="Calibri"/>
        <family val="2"/>
        <scheme val="minor"/>
      </font>
      <numFmt numFmtId="3" formatCode="#,##0"/>
    </dxf>
    <dxf>
      <font>
        <strike val="0"/>
        <outline val="0"/>
        <shadow val="0"/>
        <u val="none"/>
        <vertAlign val="baseline"/>
        <sz val="12"/>
        <name val="Calibri"/>
        <family val="2"/>
        <scheme val="minor"/>
      </font>
      <numFmt numFmtId="179" formatCode="_(* #,##0.0000_);_(* \(#,##0.0000\);_(* &quot;-&quot;????_);_(@_)"/>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b val="0"/>
        <i val="0"/>
        <strike val="0"/>
        <condense val="0"/>
        <extend val="0"/>
        <outline val="0"/>
        <shadow val="0"/>
        <u val="none"/>
        <vertAlign val="baseline"/>
        <sz val="12"/>
        <color auto="1"/>
        <name val="Calibri"/>
        <family val="2"/>
        <scheme val="minor"/>
      </font>
      <fill>
        <patternFill patternType="solid">
          <fgColor indexed="64"/>
          <bgColor rgb="FFB7DCFA"/>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Calibri"/>
        <family val="2"/>
        <scheme val="minor"/>
      </font>
      <numFmt numFmtId="175" formatCode="0.0000"/>
    </dxf>
    <dxf>
      <font>
        <strike val="0"/>
        <outline val="0"/>
        <shadow val="0"/>
        <u val="none"/>
        <vertAlign val="baseline"/>
        <sz val="12"/>
        <color theme="1"/>
        <name val="Calibri"/>
        <family val="2"/>
        <scheme val="minor"/>
      </font>
      <numFmt numFmtId="175" formatCode="0.0000"/>
    </dxf>
    <dxf>
      <font>
        <strike val="0"/>
        <outline val="0"/>
        <shadow val="0"/>
        <u val="none"/>
        <vertAlign val="baseline"/>
        <sz val="12"/>
        <color theme="1"/>
        <name val="Calibri"/>
        <family val="2"/>
        <scheme val="minor"/>
      </font>
      <numFmt numFmtId="175" formatCode="0.0000"/>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alignment horizontal="left" vertical="bottom" textRotation="0" wrapText="0" relativeIndent="1" justifyLastLine="0" shrinkToFit="0" readingOrder="0"/>
    </dxf>
    <dxf>
      <border outline="0">
        <top style="thin">
          <color rgb="FF000000"/>
        </top>
        <bottom style="thin">
          <color rgb="FFFFD966"/>
        </bottom>
      </border>
    </dxf>
    <dxf>
      <border>
        <bottom style="thin">
          <color rgb="FF000000"/>
        </bottom>
      </border>
    </dxf>
    <dxf>
      <font>
        <b/>
        <i val="0"/>
        <strike val="0"/>
        <condense val="0"/>
        <extend val="0"/>
        <outline val="0"/>
        <shadow val="0"/>
        <u val="none"/>
        <vertAlign val="baseline"/>
        <sz val="12"/>
        <color auto="1"/>
        <name val="Calibri"/>
        <family val="2"/>
        <scheme val="minor"/>
      </font>
      <fill>
        <patternFill patternType="solid">
          <fgColor indexed="64"/>
          <bgColor rgb="FFB7DCFA"/>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color theme="1"/>
        <name val="Calibri"/>
        <family val="2"/>
        <scheme val="minor"/>
      </font>
      <numFmt numFmtId="175" formatCode="0.0000"/>
    </dxf>
    <dxf>
      <font>
        <strike val="0"/>
        <outline val="0"/>
        <shadow val="0"/>
        <u val="none"/>
        <vertAlign val="baseline"/>
        <sz val="12"/>
        <color theme="1"/>
        <name val="Calibri"/>
        <family val="2"/>
        <scheme val="minor"/>
      </font>
      <numFmt numFmtId="175" formatCode="0.0000"/>
    </dxf>
    <dxf>
      <font>
        <strike val="0"/>
        <outline val="0"/>
        <shadow val="0"/>
        <u val="none"/>
        <vertAlign val="baseline"/>
        <sz val="12"/>
        <color theme="1"/>
        <name val="Calibri"/>
        <family val="2"/>
        <scheme val="minor"/>
      </font>
      <numFmt numFmtId="175" formatCode="0.0000"/>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alignment horizontal="left" vertical="bottom" textRotation="0" wrapText="0" relativeIndent="1" justifyLastLine="0" shrinkToFit="0" readingOrder="0"/>
    </dxf>
    <dxf>
      <border outline="0">
        <top style="thin">
          <color indexed="64"/>
        </top>
        <bottom style="thin">
          <color theme="7" tint="0.39997558519241921"/>
        </bottom>
      </border>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rgb="FFB7DCFA"/>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77" formatCode="&quot;$&quot;#,##0.00_);[Red]\(&quot;$&quot;#,##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5" formatCode="_(* #,##0_);_(* \(#,##0\);_(*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0" formatCode="Genera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Calibri"/>
        <family val="2"/>
        <scheme val="none"/>
      </font>
    </dxf>
    <dxf>
      <border outline="0">
        <bottom style="thin">
          <color auto="1"/>
        </bottom>
      </border>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font>
      <numFmt numFmtId="14" formatCode="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6" formatCode="&quot;$&quot;#,##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font>
      <numFmt numFmtId="166" formatCode="&quot;$&quot;#,##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5" formatCode="0.0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5" formatCode="0.000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75" formatCode="0.0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7" formatCode="&quot;$&quot;#,##0.00_);[Red]\(&quot;$&quot;#,##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solid">
          <fgColor indexed="64"/>
          <bgColor theme="7"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solid">
          <fgColor indexed="64"/>
          <bgColor theme="7"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solid">
          <fgColor indexed="64"/>
          <bgColor theme="7"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solid">
          <fgColor indexed="64"/>
          <bgColor theme="7"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fill>
        <patternFill patternType="none">
          <fgColor indexed="64"/>
          <bgColor auto="1"/>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vertAlign val="baseline"/>
        <sz val="12"/>
      </font>
      <fill>
        <patternFill patternType="solid">
          <fgColor rgb="FF000000"/>
          <bgColor rgb="FFFFF2CC"/>
        </patternFill>
      </fill>
      <alignment horizontal="center" vertical="top" textRotation="0" wrapText="1" indent="0" justifyLastLine="0" shrinkToFit="0" readingOrder="0"/>
    </dxf>
    <dxf>
      <border outline="0">
        <bottom style="thin">
          <color auto="1"/>
        </bottom>
      </border>
    </dxf>
    <dxf>
      <font>
        <strike val="0"/>
        <outline val="0"/>
        <shadow val="0"/>
        <vertAlign val="baseline"/>
        <sz val="12"/>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77" formatCode="&quot;$&quot;#,##0.00_);[Red]\(&quot;$&quot;#,##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fill>
        <patternFill patternType="solid">
          <fgColor indexed="64"/>
          <bgColor theme="0" tint="-0.49998474074526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5" formatCode="_(* #,##0_);_(* \(#,##0\);_(*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0" formatCode="Genera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dxf>
    <dxf>
      <border outline="0">
        <bottom style="thin">
          <color auto="1"/>
        </bottom>
      </border>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font>
      <numFmt numFmtId="14" formatCode="0.00%"/>
      <fill>
        <patternFill patternType="none">
          <fgColor indexed="64"/>
          <bgColor auto="1"/>
        </patternFill>
      </fill>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6" formatCode="&quot;$&quot;#,##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font>
      <numFmt numFmtId="166" formatCode="&quot;$&quot;#,##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5" formatCode="0.0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5" formatCode="0.000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75" formatCode="0.0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7" formatCode="&quot;$&quot;#,##0.00_);[Red]\(&quot;$&quot;#,##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solid">
          <fgColor indexed="64"/>
          <bgColor theme="7"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solid">
          <fgColor indexed="64"/>
          <bgColor theme="7"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solid">
          <fgColor indexed="64"/>
          <bgColor theme="7"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solid">
          <fgColor indexed="64"/>
          <bgColor theme="7"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fill>
        <patternFill patternType="none">
          <fgColor indexed="64"/>
          <bgColor auto="1"/>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font>
      <fill>
        <patternFill patternType="solid">
          <fgColor indexed="64"/>
          <bgColor theme="7" tint="0.79998168889431442"/>
        </patternFill>
      </fill>
      <alignment horizontal="center" vertical="top" textRotation="0" wrapText="1" indent="0" justifyLastLine="0" shrinkToFit="0" readingOrder="0"/>
    </dxf>
    <dxf>
      <border outline="0">
        <bottom style="thin">
          <color auto="1"/>
        </bottom>
      </border>
    </dxf>
    <dxf>
      <font>
        <strike val="0"/>
        <outline val="0"/>
        <shadow val="0"/>
        <vertAlign val="baseline"/>
        <sz val="12"/>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dxf>
    <dxf>
      <numFmt numFmtId="2" formatCode="0.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ptos"/>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B7DCFA"/>
      <color rgb="FF3F3F76"/>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0</xdr:col>
      <xdr:colOff>6686550</xdr:colOff>
      <xdr:row>0</xdr:row>
      <xdr:rowOff>676275</xdr:rowOff>
    </xdr:to>
    <xdr:pic>
      <xdr:nvPicPr>
        <xdr:cNvPr id="2" name="Picture 1" title="Descriptive">
          <a:extLst>
            <a:ext uri="{FF2B5EF4-FFF2-40B4-BE49-F238E27FC236}">
              <a16:creationId xmlns:a16="http://schemas.microsoft.com/office/drawing/2014/main" id="{0BCA2A44-1F08-4862-B46C-6126F70AB3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104775"/>
          <a:ext cx="6400800" cy="571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539180</xdr:colOff>
      <xdr:row>3</xdr:row>
      <xdr:rowOff>30616</xdr:rowOff>
    </xdr:from>
    <xdr:to>
      <xdr:col>28</xdr:col>
      <xdr:colOff>455835</xdr:colOff>
      <xdr:row>9</xdr:row>
      <xdr:rowOff>217714</xdr:rowOff>
    </xdr:to>
    <xdr:sp macro="" textlink="">
      <xdr:nvSpPr>
        <xdr:cNvPr id="3" name="Rectangle 1">
          <a:extLst>
            <a:ext uri="{FF2B5EF4-FFF2-40B4-BE49-F238E27FC236}">
              <a16:creationId xmlns:a16="http://schemas.microsoft.com/office/drawing/2014/main" id="{EC5B4C28-9F31-4D26-ACB1-3D9DABE9A0ED}"/>
            </a:ext>
          </a:extLst>
        </xdr:cNvPr>
        <xdr:cNvSpPr/>
      </xdr:nvSpPr>
      <xdr:spPr>
        <a:xfrm>
          <a:off x="15262109" y="806223"/>
          <a:ext cx="4815226" cy="1547812"/>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1 Instructions</a:t>
          </a:r>
        </a:p>
        <a:p>
          <a:pPr marL="182880" algn="l">
            <a:lnSpc>
              <a:spcPct val="108000"/>
            </a:lnSpc>
          </a:pPr>
          <a:r>
            <a:rPr lang="en-US" sz="1200" b="0" i="0" u="none" strike="noStrike" kern="1200">
              <a:solidFill>
                <a:sysClr val="windowText" lastClr="000000"/>
              </a:solidFill>
              <a:effectLst/>
              <a:latin typeface="+mn-lt"/>
              <a:ea typeface="+mn-ea"/>
              <a:cs typeface="+mn-cs"/>
            </a:rPr>
            <a:t>Input</a:t>
          </a:r>
          <a:r>
            <a:rPr lang="en-US" sz="1200" i="0">
              <a:solidFill>
                <a:sysClr val="windowText" lastClr="000000"/>
              </a:solidFill>
              <a:effectLst/>
              <a:latin typeface="+mn-lt"/>
              <a:ea typeface="+mn-ea"/>
              <a:cs typeface="+mn-cs"/>
            </a:rPr>
            <a:t> actual experience in the yellow cells, based on experience for this Washington State market for each</a:t>
          </a:r>
          <a:r>
            <a:rPr lang="en-US" sz="1200" i="0" baseline="0">
              <a:solidFill>
                <a:sysClr val="windowText" lastClr="000000"/>
              </a:solidFill>
              <a:effectLst/>
              <a:latin typeface="+mn-lt"/>
              <a:ea typeface="+mn-ea"/>
              <a:cs typeface="+mn-cs"/>
            </a:rPr>
            <a:t> plan year. </a:t>
          </a:r>
        </a:p>
        <a:p>
          <a:pPr marL="182880" algn="l">
            <a:lnSpc>
              <a:spcPct val="108000"/>
            </a:lnSpc>
          </a:pPr>
          <a:endParaRPr lang="en-US" sz="600" b="0" i="0" kern="1200" baseline="0">
            <a:solidFill>
              <a:sysClr val="windowText" lastClr="000000"/>
            </a:solidFill>
            <a:effectLst/>
            <a:latin typeface="+mn-lt"/>
            <a:ea typeface="+mn-ea"/>
            <a:cs typeface="+mn-cs"/>
          </a:endParaRPr>
        </a:p>
        <a:p>
          <a:pPr marL="182880" algn="l">
            <a:lnSpc>
              <a:spcPct val="108000"/>
            </a:lnSpc>
          </a:pPr>
          <a:r>
            <a:rPr lang="en-US" sz="1200" b="0" i="0" kern="1200" baseline="0">
              <a:solidFill>
                <a:sysClr val="windowText" lastClr="000000"/>
              </a:solidFill>
              <a:effectLst/>
              <a:latin typeface="+mn-lt"/>
              <a:ea typeface="+mn-ea"/>
              <a:cs typeface="+mn-cs"/>
            </a:rPr>
            <a:t>Add notes, as needed, to Comments at the bottom of this worksheet.</a:t>
          </a:r>
        </a:p>
        <a:p>
          <a:pPr marL="182880" algn="l">
            <a:lnSpc>
              <a:spcPct val="108000"/>
            </a:lnSpc>
          </a:pPr>
          <a:r>
            <a:rPr lang="en-US" sz="1200" b="0" i="0" kern="1200" baseline="0">
              <a:solidFill>
                <a:sysClr val="windowText" lastClr="000000"/>
              </a:solidFill>
              <a:effectLst/>
              <a:latin typeface="+mn-lt"/>
              <a:ea typeface="+mn-ea"/>
              <a:cs typeface="+mn-cs"/>
            </a:rPr>
            <a:t>Identify the source of the information entered and any adjustments used. </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13</xdr:col>
      <xdr:colOff>154782</xdr:colOff>
      <xdr:row>6</xdr:row>
      <xdr:rowOff>44221</xdr:rowOff>
    </xdr:from>
    <xdr:to>
      <xdr:col>24</xdr:col>
      <xdr:colOff>0</xdr:colOff>
      <xdr:row>55</xdr:row>
      <xdr:rowOff>81642</xdr:rowOff>
    </xdr:to>
    <xdr:sp macro="" textlink="">
      <xdr:nvSpPr>
        <xdr:cNvPr id="2" name="Rectangle 1">
          <a:extLst>
            <a:ext uri="{FF2B5EF4-FFF2-40B4-BE49-F238E27FC236}">
              <a16:creationId xmlns:a16="http://schemas.microsoft.com/office/drawing/2014/main" id="{9AF94F70-76C1-4F7A-B76A-FB8DCED6BECF}"/>
            </a:ext>
          </a:extLst>
        </xdr:cNvPr>
        <xdr:cNvSpPr/>
      </xdr:nvSpPr>
      <xdr:spPr>
        <a:xfrm>
          <a:off x="13122389" y="1663471"/>
          <a:ext cx="6580754" cy="10759850"/>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2 Instructions</a:t>
          </a:r>
        </a:p>
        <a:p>
          <a:pPr algn="l">
            <a:lnSpc>
              <a:spcPct val="108000"/>
            </a:lnSpc>
          </a:pPr>
          <a:r>
            <a:rPr lang="en-US" sz="1400" b="1" i="0" u="sng" strike="noStrike" kern="1200">
              <a:solidFill>
                <a:schemeClr val="tx2"/>
              </a:solidFill>
              <a:effectLst/>
              <a:latin typeface="+mn-lt"/>
              <a:ea typeface="+mn-ea"/>
              <a:cs typeface="+mn-cs"/>
            </a:rPr>
            <a:t>1. Actual-to-Expected Experience</a:t>
          </a:r>
        </a:p>
        <a:p>
          <a:pPr marL="365760" indent="-182880" algn="l">
            <a:lnSpc>
              <a:spcPct val="108000"/>
            </a:lnSpc>
          </a:pPr>
          <a:r>
            <a:rPr lang="en-US" sz="1200" b="0" i="0" u="none" strike="noStrike" kern="1200">
              <a:solidFill>
                <a:sysClr val="windowText" lastClr="000000"/>
              </a:solidFill>
              <a:effectLst/>
              <a:latin typeface="+mn-lt"/>
              <a:ea typeface="+mn-ea"/>
              <a:cs typeface="+mn-cs"/>
            </a:rPr>
            <a:t>a. Input</a:t>
          </a:r>
          <a:r>
            <a:rPr lang="en-US" sz="1200" i="0">
              <a:solidFill>
                <a:sysClr val="windowText" lastClr="000000"/>
              </a:solidFill>
              <a:effectLst/>
              <a:latin typeface="+mn-lt"/>
              <a:ea typeface="+mn-ea"/>
              <a:cs typeface="+mn-cs"/>
            </a:rPr>
            <a:t> actual experience and projected, as appropriate, data in the yellow cells, based on this Washington</a:t>
          </a:r>
          <a:r>
            <a:rPr lang="en-US" sz="1200" i="0" baseline="0">
              <a:solidFill>
                <a:sysClr val="windowText" lastClr="000000"/>
              </a:solidFill>
              <a:effectLst/>
              <a:latin typeface="+mn-lt"/>
              <a:ea typeface="+mn-ea"/>
              <a:cs typeface="+mn-cs"/>
            </a:rPr>
            <a:t> State market</a:t>
          </a:r>
          <a:r>
            <a:rPr lang="en-US" sz="1200" i="0">
              <a:solidFill>
                <a:sysClr val="windowText" lastClr="000000"/>
              </a:solidFill>
              <a:effectLst/>
              <a:latin typeface="+mn-lt"/>
              <a:ea typeface="+mn-ea"/>
              <a:cs typeface="+mn-cs"/>
            </a:rPr>
            <a:t>.</a:t>
          </a:r>
        </a:p>
        <a:p>
          <a:pPr marL="365760" indent="-182880" algn="l">
            <a:lnSpc>
              <a:spcPct val="108000"/>
            </a:lnSpc>
          </a:pPr>
          <a:r>
            <a:rPr lang="en-US" sz="1200" b="0" i="0" kern="1200">
              <a:solidFill>
                <a:sysClr val="windowText" lastClr="000000"/>
              </a:solidFill>
              <a:effectLst/>
              <a:latin typeface="+mn-lt"/>
              <a:ea typeface="+mn-ea"/>
              <a:cs typeface="+mn-cs"/>
            </a:rPr>
            <a:t>b. </a:t>
          </a:r>
          <a:r>
            <a:rPr lang="en-US" sz="1200" i="0">
              <a:solidFill>
                <a:sysClr val="windowText" lastClr="000000"/>
              </a:solidFill>
              <a:effectLst/>
              <a:latin typeface="+mn-lt"/>
              <a:ea typeface="+mn-ea"/>
              <a:cs typeface="+mn-cs"/>
            </a:rPr>
            <a:t>Unless otherwise specified, definitions should align with those used in the URRT.</a:t>
          </a:r>
        </a:p>
        <a:p>
          <a:pPr marL="365760" indent="-182880" algn="l">
            <a:lnSpc>
              <a:spcPct val="108000"/>
            </a:lnSpc>
          </a:pPr>
          <a:r>
            <a:rPr lang="en-US" sz="1200" i="0">
              <a:solidFill>
                <a:sysClr val="windowText" lastClr="000000"/>
              </a:solidFill>
              <a:effectLst/>
              <a:latin typeface="+mn-lt"/>
              <a:ea typeface="+mn-ea"/>
              <a:cs typeface="+mn-cs"/>
            </a:rPr>
            <a:t>c. Populate "Experience" (A) consistent with results reported in the PY2026 rate filing.</a:t>
          </a:r>
        </a:p>
        <a:p>
          <a:pPr marL="365760" indent="-182880" algn="l">
            <a:lnSpc>
              <a:spcPct val="108000"/>
            </a:lnSpc>
          </a:pPr>
          <a:r>
            <a:rPr lang="en-US" sz="1200" i="0">
              <a:solidFill>
                <a:sysClr val="windowText" lastClr="000000"/>
              </a:solidFill>
              <a:effectLst/>
              <a:latin typeface="+mn-lt"/>
              <a:ea typeface="+mn-ea"/>
              <a:cs typeface="+mn-cs"/>
            </a:rPr>
            <a:t>d. Populate "Projected" (E) consistent with projections from the PY2024 rate filing.</a:t>
          </a:r>
        </a:p>
        <a:p>
          <a:pPr marL="365760" indent="-182880" algn="l">
            <a:lnSpc>
              <a:spcPct val="108000"/>
            </a:lnSpc>
          </a:pPr>
          <a:r>
            <a:rPr lang="en-US" sz="1200" i="0">
              <a:solidFill>
                <a:sysClr val="windowText" lastClr="000000"/>
              </a:solidFill>
              <a:effectLst/>
              <a:latin typeface="+mn-lt"/>
              <a:ea typeface="+mn-ea"/>
              <a:cs typeface="+mn-cs"/>
            </a:rPr>
            <a:t>e. Allowed &amp; incurred claims should be completed claims that include incurred but not paid (IBNP) amounts, as applicable.</a:t>
          </a:r>
        </a:p>
        <a:p>
          <a:pPr marL="365760" indent="-182880" algn="l">
            <a:lnSpc>
              <a:spcPct val="108000"/>
            </a:lnSpc>
          </a:pPr>
          <a:r>
            <a:rPr lang="en-US" sz="1200" i="0">
              <a:solidFill>
                <a:sysClr val="windowText" lastClr="000000"/>
              </a:solidFill>
              <a:effectLst/>
              <a:latin typeface="+mn-lt"/>
              <a:ea typeface="+mn-ea"/>
              <a:cs typeface="+mn-cs"/>
            </a:rPr>
            <a:t>f. CSR Amounts: Input theoretical (i.e., estimated) CSR amounts when the federal government does not directly reimburse CSR amounts. If</a:t>
          </a:r>
          <a:r>
            <a:rPr lang="en-US" sz="1200" i="0" baseline="0">
              <a:solidFill>
                <a:sysClr val="windowText" lastClr="000000"/>
              </a:solidFill>
              <a:effectLst/>
              <a:latin typeface="+mn-lt"/>
              <a:ea typeface="+mn-ea"/>
              <a:cs typeface="+mn-cs"/>
            </a:rPr>
            <a:t> CSR amounts are directly reimbursed by the federal government, those actual CSR amounts should be used instead.</a:t>
          </a:r>
        </a:p>
        <a:p>
          <a:pPr marL="365760" indent="-182880" algn="l">
            <a:lnSpc>
              <a:spcPct val="108000"/>
            </a:lnSpc>
          </a:pPr>
          <a:r>
            <a:rPr lang="en-US" sz="1200" i="0" baseline="0">
              <a:solidFill>
                <a:sysClr val="windowText" lastClr="000000"/>
              </a:solidFill>
              <a:effectLst/>
              <a:latin typeface="+mn-lt"/>
              <a:ea typeface="+mn-ea"/>
              <a:cs typeface="+mn-cs"/>
            </a:rPr>
            <a:t>g. Risk Adjustment Transfer Amounts: Include high-cost risk pool (HCRP) assessments and receipts, as applicable.</a:t>
          </a:r>
        </a:p>
        <a:p>
          <a:pPr marL="365760" indent="-182880" algn="l">
            <a:lnSpc>
              <a:spcPct val="108000"/>
            </a:lnSpc>
          </a:pPr>
          <a:r>
            <a:rPr lang="en-US" sz="1200" i="0" baseline="0">
              <a:solidFill>
                <a:sysClr val="windowText" lastClr="000000"/>
              </a:solidFill>
              <a:effectLst/>
              <a:latin typeface="+mn-lt"/>
              <a:ea typeface="+mn-ea"/>
              <a:cs typeface="+mn-cs"/>
            </a:rPr>
            <a:t>h. Review calculated amounts and highlighted differences.</a:t>
          </a:r>
        </a:p>
        <a:p>
          <a:pPr marL="365760" indent="-182880" algn="l">
            <a:lnSpc>
              <a:spcPct val="108000"/>
            </a:lnSpc>
          </a:pPr>
          <a:r>
            <a:rPr lang="en-US" sz="1200" i="0" baseline="0">
              <a:solidFill>
                <a:sysClr val="windowText" lastClr="000000"/>
              </a:solidFill>
              <a:effectLst/>
              <a:latin typeface="+mn-lt"/>
              <a:ea typeface="+mn-ea"/>
              <a:cs typeface="+mn-cs"/>
            </a:rPr>
            <a:t>i. Address significant differences in Comments at the bottom of this worksheet.</a:t>
          </a:r>
        </a:p>
        <a:p>
          <a:pPr marL="365760" indent="-182880" algn="l">
            <a:lnSpc>
              <a:spcPct val="108000"/>
            </a:lnSpc>
          </a:pPr>
          <a:r>
            <a:rPr lang="en-US" sz="1200" i="0" baseline="0">
              <a:solidFill>
                <a:sysClr val="windowText" lastClr="000000"/>
              </a:solidFill>
              <a:effectLst/>
              <a:latin typeface="+mn-lt"/>
              <a:ea typeface="+mn-ea"/>
              <a:cs typeface="+mn-cs"/>
            </a:rPr>
            <a:t>j. Add other notes, as needed, to Comments at the bottom of this worksheet.</a:t>
          </a:r>
        </a:p>
        <a:p>
          <a:pPr>
            <a:lnSpc>
              <a:spcPct val="108000"/>
            </a:lnSpc>
          </a:pPr>
          <a:endParaRPr lang="en-US" sz="1200" i="0" baseline="0">
            <a:solidFill>
              <a:sysClr val="windowText" lastClr="000000"/>
            </a:solidFill>
            <a:effectLst/>
            <a:latin typeface="+mn-lt"/>
            <a:ea typeface="+mn-ea"/>
            <a:cs typeface="+mn-cs"/>
          </a:endParaRPr>
        </a:p>
        <a:p>
          <a:pPr>
            <a:lnSpc>
              <a:spcPct val="108000"/>
            </a:lnSpc>
          </a:pPr>
          <a:r>
            <a:rPr lang="en-US" sz="1400" b="1" i="0" u="sng" baseline="0">
              <a:solidFill>
                <a:schemeClr val="tx2"/>
              </a:solidFill>
              <a:effectLst/>
              <a:latin typeface="+mn-lt"/>
              <a:ea typeface="+mn-ea"/>
              <a:cs typeface="+mn-cs"/>
            </a:rPr>
            <a:t>2. Profit Reconciliation</a:t>
          </a:r>
        </a:p>
        <a:p>
          <a:pPr marL="365760" indent="-182880">
            <a:lnSpc>
              <a:spcPct val="108000"/>
            </a:lnSpc>
          </a:pPr>
          <a:r>
            <a:rPr lang="en-US" sz="1200" b="0" i="0" kern="1200" baseline="0">
              <a:solidFill>
                <a:sysClr val="windowText" lastClr="000000"/>
              </a:solidFill>
              <a:effectLst/>
              <a:latin typeface="+mn-lt"/>
              <a:ea typeface="+mn-ea"/>
              <a:cs typeface="+mn-cs"/>
            </a:rPr>
            <a:t>a. Review calculated amounts in the "Profit Reconciliation" section. </a:t>
          </a:r>
        </a:p>
        <a:p>
          <a:pPr marL="365760" indent="-182880">
            <a:lnSpc>
              <a:spcPct val="108000"/>
            </a:lnSpc>
          </a:pPr>
          <a:r>
            <a:rPr lang="en-US" sz="1200" b="0" i="0" kern="1200" baseline="0">
              <a:solidFill>
                <a:sysClr val="windowText" lastClr="000000"/>
              </a:solidFill>
              <a:effectLst/>
              <a:latin typeface="+mn-lt"/>
              <a:ea typeface="+mn-ea"/>
              <a:cs typeface="+mn-cs"/>
            </a:rPr>
            <a:t>b. Review and address any differences significantly different than $0. </a:t>
          </a:r>
        </a:p>
        <a:p>
          <a:pPr marL="365760" indent="-182880">
            <a:lnSpc>
              <a:spcPct val="108000"/>
            </a:lnSpc>
          </a:pPr>
          <a:r>
            <a:rPr lang="en-US" sz="1200" b="0" i="0" kern="1200" baseline="0">
              <a:solidFill>
                <a:sysClr val="windowText" lastClr="000000"/>
              </a:solidFill>
              <a:effectLst/>
              <a:latin typeface="+mn-lt"/>
              <a:ea typeface="+mn-ea"/>
              <a:cs typeface="+mn-cs"/>
            </a:rPr>
            <a:t>c. Add notes, as needed, to Comments at the bottom of this worksheet.</a:t>
          </a:r>
        </a:p>
        <a:p>
          <a:pPr>
            <a:lnSpc>
              <a:spcPct val="108000"/>
            </a:lnSpc>
          </a:pPr>
          <a:endParaRPr lang="en-US" sz="1200" b="0" i="0" kern="1200" baseline="0">
            <a:solidFill>
              <a:sysClr val="windowText" lastClr="000000"/>
            </a:solidFill>
            <a:effectLst/>
            <a:latin typeface="+mn-lt"/>
            <a:ea typeface="+mn-ea"/>
            <a:cs typeface="+mn-cs"/>
          </a:endParaRPr>
        </a:p>
        <a:p>
          <a:pPr>
            <a:lnSpc>
              <a:spcPct val="108000"/>
            </a:lnSpc>
          </a:pPr>
          <a:r>
            <a:rPr lang="en-US" sz="1400" b="1" i="0" u="sng" kern="1200" baseline="0">
              <a:solidFill>
                <a:schemeClr val="tx2"/>
              </a:solidFill>
              <a:effectLst/>
              <a:latin typeface="+mn-lt"/>
              <a:ea typeface="+mn-ea"/>
              <a:cs typeface="+mn-cs"/>
            </a:rPr>
            <a:t>3. Loss Ratios</a:t>
          </a:r>
        </a:p>
        <a:p>
          <a:pPr marL="365760" indent="-182880">
            <a:lnSpc>
              <a:spcPct val="108000"/>
            </a:lnSpc>
          </a:pPr>
          <a:r>
            <a:rPr lang="en-US" sz="1200" b="0" i="0" kern="1200" baseline="0">
              <a:solidFill>
                <a:sysClr val="windowText" lastClr="000000"/>
              </a:solidFill>
              <a:effectLst/>
              <a:latin typeface="+mn-lt"/>
              <a:ea typeface="+mn-ea"/>
              <a:cs typeface="+mn-cs"/>
            </a:rPr>
            <a:t>a. Review calculated amounts in the "Loss Ratios" section". </a:t>
          </a:r>
        </a:p>
        <a:p>
          <a:pPr marL="365760" indent="-182880">
            <a:lnSpc>
              <a:spcPct val="108000"/>
            </a:lnSpc>
          </a:pPr>
          <a:r>
            <a:rPr lang="en-US" sz="1200" b="0" i="0" kern="1200" baseline="0">
              <a:solidFill>
                <a:sysClr val="windowText" lastClr="000000"/>
              </a:solidFill>
              <a:effectLst/>
              <a:latin typeface="+mn-lt"/>
              <a:ea typeface="+mn-ea"/>
              <a:cs typeface="+mn-cs"/>
            </a:rPr>
            <a:t>b. Add notes, as needed, to Comments at the bottom of this worksheet.</a:t>
          </a:r>
        </a:p>
        <a:p>
          <a:pPr>
            <a:lnSpc>
              <a:spcPct val="108000"/>
            </a:lnSpc>
          </a:pPr>
          <a:endParaRPr lang="en-US" sz="1200" b="0" i="0" kern="1200" baseline="0">
            <a:solidFill>
              <a:sysClr val="windowText" lastClr="000000"/>
            </a:solidFill>
            <a:effectLst/>
            <a:latin typeface="+mn-lt"/>
            <a:ea typeface="+mn-ea"/>
            <a:cs typeface="+mn-cs"/>
          </a:endParaRPr>
        </a:p>
        <a:p>
          <a:pPr>
            <a:lnSpc>
              <a:spcPct val="108000"/>
            </a:lnSpc>
          </a:pPr>
          <a:r>
            <a:rPr lang="en-US" sz="1400" b="1" i="0" u="sng" kern="1200" baseline="0">
              <a:solidFill>
                <a:schemeClr val="tx2"/>
              </a:solidFill>
              <a:effectLst/>
              <a:latin typeface="+mn-lt"/>
              <a:ea typeface="+mn-ea"/>
              <a:cs typeface="+mn-cs"/>
            </a:rPr>
            <a:t>4. Comments</a:t>
          </a:r>
        </a:p>
        <a:p>
          <a:pPr marL="182880" indent="0">
            <a:lnSpc>
              <a:spcPct val="108000"/>
            </a:lnSpc>
          </a:pPr>
          <a:r>
            <a:rPr lang="en-US" sz="1100">
              <a:solidFill>
                <a:sysClr val="windowText" lastClr="000000"/>
              </a:solidFill>
              <a:effectLst/>
              <a:latin typeface="+mn-lt"/>
              <a:ea typeface="+mn-ea"/>
              <a:cs typeface="+mn-cs"/>
            </a:rPr>
            <a:t>If you observe any significant discrepancy between actual and expected results, provide</a:t>
          </a:r>
          <a:r>
            <a:rPr lang="en-US" sz="1100" baseline="0">
              <a:solidFill>
                <a:sysClr val="windowText" lastClr="000000"/>
              </a:solidFill>
              <a:effectLst/>
              <a:latin typeface="+mn-lt"/>
              <a:ea typeface="+mn-ea"/>
              <a:cs typeface="+mn-cs"/>
            </a:rPr>
            <a:t> the following information in the Comments section. Otherwise, identify the external document and section that includes the following information.</a:t>
          </a:r>
        </a:p>
        <a:p>
          <a:endParaRPr lang="en-US" sz="1100">
            <a:solidFill>
              <a:sysClr val="windowText" lastClr="000000"/>
            </a:solidFill>
            <a:effectLst/>
          </a:endParaRPr>
        </a:p>
        <a:p>
          <a:pPr marL="182880"/>
          <a:r>
            <a:rPr lang="en-US" sz="1100" b="1">
              <a:solidFill>
                <a:sysClr val="windowText" lastClr="000000"/>
              </a:solidFill>
              <a:effectLst/>
              <a:latin typeface="+mn-lt"/>
              <a:ea typeface="+mn-ea"/>
              <a:cs typeface="+mn-cs"/>
            </a:rPr>
            <a:t>Identify Material Differences</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Clearly describe the magnitude and nature of the discrepancy.</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Indicate whether the difference is isolated or part of a broader trend.</a:t>
          </a:r>
        </a:p>
        <a:p>
          <a:pPr marL="182880"/>
          <a:endParaRPr lang="en-US" sz="600">
            <a:solidFill>
              <a:sysClr val="windowText" lastClr="000000"/>
            </a:solidFill>
            <a:effectLst/>
          </a:endParaRPr>
        </a:p>
        <a:p>
          <a:pPr marL="182880"/>
          <a:r>
            <a:rPr lang="en-US" sz="1100" b="1">
              <a:solidFill>
                <a:sysClr val="windowText" lastClr="000000"/>
              </a:solidFill>
              <a:effectLst/>
              <a:latin typeface="+mn-lt"/>
              <a:ea typeface="+mn-ea"/>
              <a:cs typeface="+mn-cs"/>
            </a:rPr>
            <a:t>Root Cause Analysis</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Investigate the key drivers of significant differences in actual-to-expected (A:E) results.</a:t>
          </a:r>
        </a:p>
        <a:p>
          <a:pPr marL="182880"/>
          <a:r>
            <a:rPr lang="en-US" sz="1100">
              <a:solidFill>
                <a:sysClr val="windowText" lastClr="000000"/>
              </a:solidFill>
              <a:effectLst/>
              <a:latin typeface="+mn-lt"/>
              <a:ea typeface="+mn-ea"/>
              <a:cs typeface="+mn-cs"/>
            </a:rPr>
            <a:t>• Distinguish between internal model issues and external market or environmental influences.</a:t>
          </a:r>
        </a:p>
        <a:p>
          <a:pPr marL="182880"/>
          <a:endParaRPr lang="en-US" sz="600">
            <a:solidFill>
              <a:sysClr val="windowText" lastClr="000000"/>
            </a:solidFill>
            <a:effectLst/>
          </a:endParaRPr>
        </a:p>
        <a:p>
          <a:pPr marL="182880"/>
          <a:r>
            <a:rPr lang="en-US" sz="1100" b="1">
              <a:solidFill>
                <a:sysClr val="windowText" lastClr="000000"/>
              </a:solidFill>
              <a:effectLst/>
              <a:latin typeface="+mn-lt"/>
              <a:ea typeface="+mn-ea"/>
              <a:cs typeface="+mn-cs"/>
            </a:rPr>
            <a:t>Historical Context &amp; Trend Analysis</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Compare current A/E results with historical outcomes to determine if the variance is a one-time anomaly or a recurring pattern.</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Note any changes in underlying assumptions or external conditions since previous evaluations.</a:t>
          </a:r>
        </a:p>
        <a:p>
          <a:pPr marL="182880"/>
          <a:endParaRPr lang="en-US" sz="600">
            <a:solidFill>
              <a:sysClr val="windowText" lastClr="000000"/>
            </a:solidFill>
            <a:effectLst/>
          </a:endParaRPr>
        </a:p>
        <a:p>
          <a:pPr marL="182880"/>
          <a:r>
            <a:rPr lang="en-US" sz="1100" b="1">
              <a:solidFill>
                <a:sysClr val="windowText" lastClr="000000"/>
              </a:solidFill>
              <a:effectLst/>
              <a:latin typeface="+mn-lt"/>
              <a:ea typeface="+mn-ea"/>
              <a:cs typeface="+mn-cs"/>
            </a:rPr>
            <a:t>Describe Model Deficiencies</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For each material difference that indicates a deficiency, explain the identified issue.</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Summarize the root cause and contributing factors in clear, concise language.</a:t>
          </a:r>
        </a:p>
        <a:p>
          <a:pPr marL="182880"/>
          <a:endParaRPr lang="en-US" sz="600">
            <a:solidFill>
              <a:sysClr val="windowText" lastClr="000000"/>
            </a:solidFill>
            <a:effectLst/>
          </a:endParaRPr>
        </a:p>
        <a:p>
          <a:pPr marL="182880"/>
          <a:r>
            <a:rPr lang="en-US" sz="1100" b="1">
              <a:solidFill>
                <a:sysClr val="windowText" lastClr="000000"/>
              </a:solidFill>
              <a:effectLst/>
              <a:latin typeface="+mn-lt"/>
              <a:ea typeface="+mn-ea"/>
              <a:cs typeface="+mn-cs"/>
            </a:rPr>
            <a:t>Document Model Updates</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Specify how you have updated or plan to update the model to address each identified issue.</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Outline any modifications to assumptions, data sources, or methodologies.</a:t>
          </a:r>
        </a:p>
        <a:p>
          <a:pPr marL="182880"/>
          <a:endParaRPr lang="en-US" sz="600">
            <a:solidFill>
              <a:sysClr val="windowText" lastClr="000000"/>
            </a:solidFill>
            <a:effectLst/>
          </a:endParaRPr>
        </a:p>
        <a:p>
          <a:pPr marL="182880"/>
          <a:r>
            <a:rPr lang="en-US" sz="1100" b="1">
              <a:solidFill>
                <a:sysClr val="windowText" lastClr="000000"/>
              </a:solidFill>
              <a:effectLst/>
              <a:latin typeface="+mn-lt"/>
              <a:ea typeface="+mn-ea"/>
              <a:cs typeface="+mn-cs"/>
            </a:rPr>
            <a:t>Expected Impact &amp; Action Plan</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Provide a qualitative or quantitative estimate of how each proposed change is expected to improve the A/E alignment.</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Include timelines for implementing these changes and for re-evaluating the model’s performance post-implementation.</a:t>
          </a:r>
          <a:endParaRPr lang="en-US" sz="1100">
            <a:solidFill>
              <a:sysClr val="windowText" lastClr="000000"/>
            </a:solidFill>
            <a:effectLst/>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15</xdr:col>
      <xdr:colOff>149679</xdr:colOff>
      <xdr:row>6</xdr:row>
      <xdr:rowOff>136070</xdr:rowOff>
    </xdr:from>
    <xdr:to>
      <xdr:col>27</xdr:col>
      <xdr:colOff>340178</xdr:colOff>
      <xdr:row>46</xdr:row>
      <xdr:rowOff>204108</xdr:rowOff>
    </xdr:to>
    <xdr:sp macro="" textlink="">
      <xdr:nvSpPr>
        <xdr:cNvPr id="2" name="Rectangle 7">
          <a:extLst>
            <a:ext uri="{FF2B5EF4-FFF2-40B4-BE49-F238E27FC236}">
              <a16:creationId xmlns:a16="http://schemas.microsoft.com/office/drawing/2014/main" id="{6BBC49BE-2139-46E7-B195-AB4E7B1D869C}"/>
            </a:ext>
          </a:extLst>
        </xdr:cNvPr>
        <xdr:cNvSpPr/>
      </xdr:nvSpPr>
      <xdr:spPr>
        <a:xfrm>
          <a:off x="15294429" y="1755320"/>
          <a:ext cx="7538356" cy="9021538"/>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3 Instructions</a:t>
          </a:r>
        </a:p>
        <a:p>
          <a:pPr algn="l">
            <a:lnSpc>
              <a:spcPct val="108000"/>
            </a:lnSpc>
          </a:pPr>
          <a:r>
            <a:rPr lang="en-US" sz="1200" b="0" i="0" u="none" strike="noStrike" kern="1200">
              <a:solidFill>
                <a:sysClr val="windowText" lastClr="000000"/>
              </a:solidFill>
              <a:effectLst/>
              <a:latin typeface="+mn-lt"/>
              <a:ea typeface="+mn-ea"/>
              <a:cs typeface="+mn-cs"/>
            </a:rPr>
            <a:t>Note: This exhibit supports URRT Worksheet 1 trends.</a:t>
          </a:r>
        </a:p>
        <a:p>
          <a:pPr algn="l">
            <a:lnSpc>
              <a:spcPct val="108000"/>
            </a:lnSpc>
          </a:pPr>
          <a:r>
            <a:rPr lang="en-US" sz="1400" b="1" i="0" u="sng" strike="noStrike" kern="1200">
              <a:solidFill>
                <a:schemeClr val="tx2"/>
              </a:solidFill>
              <a:effectLst/>
              <a:latin typeface="+mn-lt"/>
              <a:ea typeface="+mn-ea"/>
              <a:cs typeface="+mn-cs"/>
            </a:rPr>
            <a:t>1. EXPERIENCE &amp; PROJECTED DATA -- UNITS &amp; UNIT COST</a:t>
          </a:r>
        </a:p>
        <a:p>
          <a:pPr marL="365760" indent="-182880" algn="l">
            <a:lnSpc>
              <a:spcPct val="108000"/>
            </a:lnSpc>
          </a:pPr>
          <a:r>
            <a:rPr lang="en-US" sz="1200" b="0" i="0" u="none" strike="noStrike" kern="1200">
              <a:solidFill>
                <a:sysClr val="windowText" lastClr="000000"/>
              </a:solidFill>
              <a:effectLst/>
              <a:latin typeface="+mn-lt"/>
              <a:ea typeface="+mn-ea"/>
              <a:cs typeface="+mn-cs"/>
            </a:rPr>
            <a:t>a. Input</a:t>
          </a:r>
          <a:r>
            <a:rPr lang="en-US" sz="1200" i="0">
              <a:solidFill>
                <a:sysClr val="windowText" lastClr="000000"/>
              </a:solidFill>
              <a:effectLst/>
              <a:latin typeface="+mn-lt"/>
              <a:ea typeface="+mn-ea"/>
              <a:cs typeface="+mn-cs"/>
            </a:rPr>
            <a:t> actual experience in the yellow cells in columns C &amp; D, based on experience (or</a:t>
          </a:r>
          <a:r>
            <a:rPr lang="en-US" sz="1200" i="0" baseline="0">
              <a:solidFill>
                <a:sysClr val="windowText" lastClr="000000"/>
              </a:solidFill>
              <a:effectLst/>
              <a:latin typeface="+mn-lt"/>
              <a:ea typeface="+mn-ea"/>
              <a:cs typeface="+mn-cs"/>
            </a:rPr>
            <a:t> projections) </a:t>
          </a:r>
          <a:r>
            <a:rPr lang="en-US" sz="1200" i="0">
              <a:solidFill>
                <a:sysClr val="windowText" lastClr="000000"/>
              </a:solidFill>
              <a:effectLst/>
              <a:latin typeface="+mn-lt"/>
              <a:ea typeface="+mn-ea"/>
              <a:cs typeface="+mn-cs"/>
            </a:rPr>
            <a:t>for this Washington State market for each</a:t>
          </a:r>
          <a:r>
            <a:rPr lang="en-US" sz="1200" i="0" baseline="0">
              <a:solidFill>
                <a:sysClr val="windowText" lastClr="000000"/>
              </a:solidFill>
              <a:effectLst/>
              <a:latin typeface="+mn-lt"/>
              <a:ea typeface="+mn-ea"/>
              <a:cs typeface="+mn-cs"/>
            </a:rPr>
            <a:t> plan year. </a:t>
          </a:r>
        </a:p>
        <a:p>
          <a:pPr marL="365760" indent="-182880" algn="l">
            <a:lnSpc>
              <a:spcPct val="108000"/>
            </a:lnSpc>
          </a:pPr>
          <a:r>
            <a:rPr lang="en-US" sz="1200" b="0" i="0" kern="1200">
              <a:solidFill>
                <a:sysClr val="windowText" lastClr="000000"/>
              </a:solidFill>
              <a:effectLst/>
              <a:latin typeface="+mn-lt"/>
              <a:ea typeface="+mn-ea"/>
              <a:cs typeface="+mn-cs"/>
            </a:rPr>
            <a:t>b. If you must estimate utilization data</a:t>
          </a:r>
          <a:r>
            <a:rPr lang="en-US" sz="1200" b="0" i="0" kern="1200" baseline="0">
              <a:solidFill>
                <a:sysClr val="windowText" lastClr="000000"/>
              </a:solidFill>
              <a:effectLst/>
              <a:latin typeface="+mn-lt"/>
              <a:ea typeface="+mn-ea"/>
              <a:cs typeface="+mn-cs"/>
            </a:rPr>
            <a:t> due to claims data limitations, in Comments at the bottom of this worksheet, identify the limitation(s) and explain how you modeled units. </a:t>
          </a:r>
          <a:endParaRPr lang="en-US" sz="1200" i="0">
            <a:solidFill>
              <a:sysClr val="windowText" lastClr="000000"/>
            </a:solidFill>
            <a:effectLst/>
            <a:latin typeface="+mn-lt"/>
            <a:ea typeface="+mn-ea"/>
            <a:cs typeface="+mn-cs"/>
          </a:endParaRPr>
        </a:p>
        <a:p>
          <a:pPr marL="365760" indent="-182880">
            <a:lnSpc>
              <a:spcPct val="108000"/>
            </a:lnSpc>
          </a:pPr>
          <a:r>
            <a:rPr lang="en-US" sz="1200" i="0">
              <a:solidFill>
                <a:sysClr val="windowText" lastClr="000000"/>
              </a:solidFill>
              <a:effectLst/>
              <a:latin typeface="+mn-lt"/>
              <a:ea typeface="+mn-ea"/>
              <a:cs typeface="+mn-cs"/>
            </a:rPr>
            <a:t>c. </a:t>
          </a:r>
          <a:r>
            <a:rPr lang="en-US" sz="1200" b="1" i="0">
              <a:solidFill>
                <a:sysClr val="windowText" lastClr="000000"/>
              </a:solidFill>
              <a:effectLst/>
              <a:latin typeface="+mn-lt"/>
              <a:ea typeface="+mn-ea"/>
              <a:cs typeface="+mn-cs"/>
            </a:rPr>
            <a:t>Frequency Units</a:t>
          </a:r>
          <a:r>
            <a:rPr lang="en-US" sz="1200" i="0">
              <a:solidFill>
                <a:sysClr val="windowText" lastClr="000000"/>
              </a:solidFill>
              <a:effectLst/>
              <a:latin typeface="+mn-lt"/>
              <a:ea typeface="+mn-ea"/>
              <a:cs typeface="+mn-cs"/>
            </a:rPr>
            <a:t> describe</a:t>
          </a:r>
          <a:r>
            <a:rPr lang="en-US" sz="1200" i="0" baseline="0">
              <a:solidFill>
                <a:sysClr val="windowText" lastClr="000000"/>
              </a:solidFill>
              <a:effectLst/>
              <a:latin typeface="+mn-lt"/>
              <a:ea typeface="+mn-ea"/>
              <a:cs typeface="+mn-cs"/>
            </a:rPr>
            <a:t> the amounts in the "Units per 1,000" column.</a:t>
          </a:r>
        </a:p>
        <a:p>
          <a:pPr marL="365760" indent="-182880">
            <a:lnSpc>
              <a:spcPct val="108000"/>
            </a:lnSpc>
          </a:pPr>
          <a:r>
            <a:rPr lang="en-US" sz="1200" i="0" baseline="0">
              <a:solidFill>
                <a:sysClr val="windowText" lastClr="000000"/>
              </a:solidFill>
              <a:effectLst/>
              <a:latin typeface="+mn-lt"/>
              <a:ea typeface="+mn-ea"/>
              <a:cs typeface="+mn-cs"/>
            </a:rPr>
            <a:t>    -- For inpatient hospital, "Days" are selected to capture all lengths of stay, not just a count of admissions.</a:t>
          </a:r>
        </a:p>
        <a:p>
          <a:pPr marL="365760" indent="-182880">
            <a:lnSpc>
              <a:spcPct val="108000"/>
            </a:lnSpc>
          </a:pPr>
          <a:r>
            <a:rPr lang="en-US" sz="1200" i="0" baseline="0">
              <a:solidFill>
                <a:sysClr val="windowText" lastClr="000000"/>
              </a:solidFill>
              <a:effectLst/>
              <a:latin typeface="+mn-lt"/>
              <a:ea typeface="+mn-ea"/>
              <a:cs typeface="+mn-cs"/>
            </a:rPr>
            <a:t>    -- For outpatient hospital and professional benefits, "Services" are selected based on a common unit value used by carriers and will recognize multiple services per visit and multiple services per claim. </a:t>
          </a:r>
        </a:p>
        <a:p>
          <a:pPr marL="365760" indent="-182880">
            <a:lnSpc>
              <a:spcPct val="108000"/>
            </a:lnSpc>
          </a:pPr>
          <a:r>
            <a:rPr lang="en-US" sz="1200" i="0" baseline="0">
              <a:solidFill>
                <a:sysClr val="windowText" lastClr="000000"/>
              </a:solidFill>
              <a:effectLst/>
              <a:latin typeface="+mn-lt"/>
              <a:ea typeface="+mn-ea"/>
              <a:cs typeface="+mn-cs"/>
            </a:rPr>
            <a:t>    -- For prescription drugs, "Days Filled" recognizes that when prescriptions are filled, they may cover a different number of days. Consider, for example, that mail-order prescriptions typically cover more days than retail prescriptions.</a:t>
          </a:r>
        </a:p>
        <a:p>
          <a:pPr marL="365760" indent="-182880">
            <a:lnSpc>
              <a:spcPct val="108000"/>
            </a:lnSpc>
          </a:pPr>
          <a:r>
            <a:rPr lang="en-US" sz="1200" i="0" baseline="0">
              <a:solidFill>
                <a:sysClr val="windowText" lastClr="000000"/>
              </a:solidFill>
              <a:effectLst/>
              <a:latin typeface="+mn-lt"/>
              <a:ea typeface="+mn-ea"/>
              <a:cs typeface="+mn-cs"/>
            </a:rPr>
            <a:t>d. </a:t>
          </a:r>
          <a:r>
            <a:rPr lang="en-US" sz="1200" b="1" i="0" baseline="0">
              <a:solidFill>
                <a:sysClr val="windowText" lastClr="000000"/>
              </a:solidFill>
              <a:effectLst/>
              <a:latin typeface="+mn-lt"/>
              <a:ea typeface="+mn-ea"/>
              <a:cs typeface="+mn-cs"/>
            </a:rPr>
            <a:t>Units per 1,000</a:t>
          </a:r>
          <a:r>
            <a:rPr lang="en-US" sz="1200" i="0" baseline="0">
              <a:solidFill>
                <a:sysClr val="windowText" lastClr="000000"/>
              </a:solidFill>
              <a:effectLst/>
              <a:latin typeface="+mn-lt"/>
              <a:ea typeface="+mn-ea"/>
              <a:cs typeface="+mn-cs"/>
            </a:rPr>
            <a:t> measure utilization per 1,000 members per year. Calculated as (number of units per 1,000 members) = (Sum of units for the year across all members) / (Total member months for the year) x 12,000.</a:t>
          </a:r>
        </a:p>
        <a:p>
          <a:pPr marL="365760" indent="-182880">
            <a:lnSpc>
              <a:spcPct val="108000"/>
            </a:lnSpc>
          </a:pPr>
          <a:r>
            <a:rPr lang="en-US" sz="1200" i="0" baseline="0">
              <a:solidFill>
                <a:sysClr val="windowText" lastClr="000000"/>
              </a:solidFill>
              <a:effectLst/>
              <a:latin typeface="+mn-lt"/>
              <a:ea typeface="+mn-ea"/>
              <a:cs typeface="+mn-cs"/>
            </a:rPr>
            <a:t>e. </a:t>
          </a:r>
          <a:r>
            <a:rPr lang="en-US" sz="1200" b="1" i="0" baseline="0">
              <a:solidFill>
                <a:sysClr val="windowText" lastClr="000000"/>
              </a:solidFill>
              <a:effectLst/>
              <a:latin typeface="+mn-lt"/>
              <a:ea typeface="+mn-ea"/>
              <a:cs typeface="+mn-cs"/>
            </a:rPr>
            <a:t>Unit cost</a:t>
          </a:r>
          <a:r>
            <a:rPr lang="en-US" sz="1200" i="0" baseline="0">
              <a:solidFill>
                <a:sysClr val="windowText" lastClr="000000"/>
              </a:solidFill>
              <a:effectLst/>
              <a:latin typeface="+mn-lt"/>
              <a:ea typeface="+mn-ea"/>
              <a:cs typeface="+mn-cs"/>
            </a:rPr>
            <a:t> measures the average cost per unit within each category (i.e., an average cost per occurrence). The amount will vary by benefit category, such as inpatient, outpatient, professional, and prescription rug.</a:t>
          </a:r>
        </a:p>
        <a:p>
          <a:pPr marL="365760" indent="-182880">
            <a:lnSpc>
              <a:spcPct val="108000"/>
            </a:lnSpc>
          </a:pPr>
          <a:r>
            <a:rPr lang="en-US" sz="1200" i="0" baseline="0">
              <a:solidFill>
                <a:sysClr val="windowText" lastClr="000000"/>
              </a:solidFill>
              <a:effectLst/>
              <a:latin typeface="+mn-lt"/>
              <a:ea typeface="+mn-ea"/>
              <a:cs typeface="+mn-cs"/>
            </a:rPr>
            <a:t>f. Add notes, as needed, to Comments at the bottom of this worksheet.</a:t>
          </a:r>
        </a:p>
        <a:p>
          <a:pPr>
            <a:lnSpc>
              <a:spcPct val="108000"/>
            </a:lnSpc>
          </a:pPr>
          <a:endParaRPr lang="en-US" sz="1200" i="0" baseline="0">
            <a:solidFill>
              <a:sysClr val="windowText" lastClr="000000"/>
            </a:solidFill>
            <a:effectLst/>
            <a:latin typeface="+mn-lt"/>
            <a:ea typeface="+mn-ea"/>
            <a:cs typeface="+mn-cs"/>
          </a:endParaRPr>
        </a:p>
        <a:p>
          <a:pPr>
            <a:lnSpc>
              <a:spcPct val="108000"/>
            </a:lnSpc>
          </a:pPr>
          <a:r>
            <a:rPr lang="en-US" sz="1400" b="1" i="0" u="sng" baseline="0">
              <a:solidFill>
                <a:schemeClr val="tx2"/>
              </a:solidFill>
              <a:effectLst/>
              <a:latin typeface="+mn-lt"/>
              <a:ea typeface="+mn-ea"/>
              <a:cs typeface="+mn-cs"/>
            </a:rPr>
            <a:t>2. EXPERIENCE &amp; PROJECTED TRENDS</a:t>
          </a:r>
        </a:p>
        <a:p>
          <a:pPr marL="182880">
            <a:lnSpc>
              <a:spcPct val="108000"/>
            </a:lnSpc>
          </a:pPr>
          <a:r>
            <a:rPr lang="en-US" sz="1200" b="0" i="0" kern="1200" baseline="0">
              <a:solidFill>
                <a:sysClr val="windowText" lastClr="000000"/>
              </a:solidFill>
              <a:effectLst/>
              <a:latin typeface="+mn-lt"/>
              <a:ea typeface="+mn-ea"/>
              <a:cs typeface="+mn-cs"/>
            </a:rPr>
            <a:t>Input Washington State trends in the yellow cells in columns K &amp; L. </a:t>
          </a:r>
        </a:p>
        <a:p>
          <a:pPr marL="182880">
            <a:lnSpc>
              <a:spcPct val="108000"/>
            </a:lnSpc>
          </a:pPr>
          <a:r>
            <a:rPr lang="en-US" sz="1200" b="0" i="0" kern="1200" baseline="0">
              <a:solidFill>
                <a:sysClr val="windowText" lastClr="000000"/>
              </a:solidFill>
              <a:effectLst/>
              <a:latin typeface="+mn-lt"/>
              <a:ea typeface="+mn-ea"/>
              <a:cs typeface="+mn-cs"/>
            </a:rPr>
            <a:t>Input both estimated reimbursement trends and service mix/intensity trends. </a:t>
          </a:r>
        </a:p>
        <a:p>
          <a:pPr marL="182880">
            <a:lnSpc>
              <a:spcPct val="108000"/>
            </a:lnSpc>
          </a:pPr>
          <a:r>
            <a:rPr lang="en-US" sz="1200" b="0" i="0" kern="1200" baseline="0">
              <a:solidFill>
                <a:sysClr val="windowText" lastClr="000000"/>
              </a:solidFill>
              <a:effectLst/>
              <a:latin typeface="+mn-lt"/>
              <a:ea typeface="+mn-ea"/>
              <a:cs typeface="+mn-cs"/>
            </a:rPr>
            <a:t>See below for additional information.</a:t>
          </a:r>
        </a:p>
        <a:p>
          <a:pPr marL="182880">
            <a:lnSpc>
              <a:spcPct val="108000"/>
            </a:lnSpc>
          </a:pPr>
          <a:r>
            <a:rPr lang="en-US" sz="1200" b="0" i="0" kern="1200" baseline="0">
              <a:solidFill>
                <a:sysClr val="windowText" lastClr="000000"/>
              </a:solidFill>
              <a:effectLst/>
              <a:latin typeface="+mn-lt"/>
              <a:ea typeface="+mn-ea"/>
              <a:cs typeface="+mn-cs"/>
            </a:rPr>
            <a:t>-- Because unit cost is a summary statistic, it can be split into two subcomponents:</a:t>
          </a:r>
        </a:p>
        <a:p>
          <a:pPr marL="548640" indent="-182880">
            <a:lnSpc>
              <a:spcPct val="108000"/>
            </a:lnSpc>
          </a:pPr>
          <a:r>
            <a:rPr lang="en-US" sz="1200" b="0" i="0" kern="1200" baseline="0">
              <a:solidFill>
                <a:sysClr val="windowText" lastClr="000000"/>
              </a:solidFill>
              <a:effectLst/>
              <a:latin typeface="+mn-lt"/>
              <a:ea typeface="+mn-ea"/>
              <a:cs typeface="+mn-cs"/>
            </a:rPr>
            <a:t>(1) </a:t>
          </a:r>
          <a:r>
            <a:rPr lang="en-US" sz="1200" b="1" i="0" kern="1200" baseline="0">
              <a:solidFill>
                <a:sysClr val="windowText" lastClr="000000"/>
              </a:solidFill>
              <a:effectLst/>
              <a:latin typeface="+mn-lt"/>
              <a:ea typeface="+mn-ea"/>
              <a:cs typeface="+mn-cs"/>
            </a:rPr>
            <a:t>Reimbursement</a:t>
          </a:r>
          <a:r>
            <a:rPr lang="en-US" sz="1200" b="0" i="0" kern="1200" baseline="0">
              <a:solidFill>
                <a:sysClr val="windowText" lastClr="000000"/>
              </a:solidFill>
              <a:effectLst/>
              <a:latin typeface="+mn-lt"/>
              <a:ea typeface="+mn-ea"/>
              <a:cs typeface="+mn-cs"/>
            </a:rPr>
            <a:t>, as determined by provider reimbursement rates (i.e., what is paid to provider for each service)</a:t>
          </a:r>
        </a:p>
        <a:p>
          <a:pPr marL="548640" indent="-182880">
            <a:lnSpc>
              <a:spcPct val="108000"/>
            </a:lnSpc>
          </a:pPr>
          <a:r>
            <a:rPr lang="en-US" sz="1200" b="0" i="0" kern="1200" baseline="0">
              <a:solidFill>
                <a:sysClr val="windowText" lastClr="000000"/>
              </a:solidFill>
              <a:effectLst/>
              <a:latin typeface="+mn-lt"/>
              <a:ea typeface="+mn-ea"/>
              <a:cs typeface="+mn-cs"/>
            </a:rPr>
            <a:t>(2) </a:t>
          </a:r>
          <a:r>
            <a:rPr lang="en-US" sz="1200" b="1" i="0" kern="1200" baseline="0">
              <a:solidFill>
                <a:sysClr val="windowText" lastClr="000000"/>
              </a:solidFill>
              <a:effectLst/>
              <a:latin typeface="+mn-lt"/>
              <a:ea typeface="+mn-ea"/>
              <a:cs typeface="+mn-cs"/>
            </a:rPr>
            <a:t>Service mix / intensity</a:t>
          </a:r>
          <a:r>
            <a:rPr lang="en-US" sz="1200" b="0" i="0" kern="1200" baseline="0">
              <a:solidFill>
                <a:sysClr val="windowText" lastClr="000000"/>
              </a:solidFill>
              <a:effectLst/>
              <a:latin typeface="+mn-lt"/>
              <a:ea typeface="+mn-ea"/>
              <a:cs typeface="+mn-cs"/>
            </a:rPr>
            <a:t>, as determined by the distribution of services within the benefit category</a:t>
          </a:r>
        </a:p>
        <a:p>
          <a:pPr marL="182880">
            <a:lnSpc>
              <a:spcPct val="108000"/>
            </a:lnSpc>
          </a:pPr>
          <a:endParaRPr lang="en-US" sz="600" b="0" i="0" kern="1200" baseline="0">
            <a:solidFill>
              <a:sysClr val="windowText" lastClr="000000"/>
            </a:solidFill>
            <a:effectLst/>
            <a:latin typeface="+mn-lt"/>
            <a:ea typeface="+mn-ea"/>
            <a:cs typeface="+mn-cs"/>
          </a:endParaRPr>
        </a:p>
        <a:p>
          <a:pPr marL="182880">
            <a:lnSpc>
              <a:spcPct val="108000"/>
            </a:lnSpc>
          </a:pPr>
          <a:r>
            <a:rPr lang="en-US" sz="1200" b="0" i="0" kern="1200" baseline="0">
              <a:solidFill>
                <a:sysClr val="windowText" lastClr="000000"/>
              </a:solidFill>
              <a:effectLst/>
              <a:latin typeface="+mn-lt"/>
              <a:ea typeface="+mn-ea"/>
              <a:cs typeface="+mn-cs"/>
            </a:rPr>
            <a:t>-- Reimbursement trend measures the change in reimbursements but does not account for shifts in the distribution of services. To measure reimbursement trend, the service mix is held constant.</a:t>
          </a:r>
        </a:p>
        <a:p>
          <a:pPr marL="182880">
            <a:lnSpc>
              <a:spcPct val="108000"/>
            </a:lnSpc>
          </a:pPr>
          <a:endParaRPr lang="en-US" sz="600" b="0" i="0" kern="1200" baseline="0">
            <a:solidFill>
              <a:sysClr val="windowText" lastClr="000000"/>
            </a:solidFill>
            <a:effectLst/>
            <a:latin typeface="+mn-lt"/>
            <a:ea typeface="+mn-ea"/>
            <a:cs typeface="+mn-cs"/>
          </a:endParaRPr>
        </a:p>
        <a:p>
          <a:pPr marL="182880">
            <a:lnSpc>
              <a:spcPct val="108000"/>
            </a:lnSpc>
          </a:pPr>
          <a:r>
            <a:rPr lang="en-US" sz="1200" b="0" i="0" kern="1200" baseline="0">
              <a:solidFill>
                <a:sysClr val="windowText" lastClr="000000"/>
              </a:solidFill>
              <a:effectLst/>
              <a:latin typeface="+mn-lt"/>
              <a:ea typeface="+mn-ea"/>
              <a:cs typeface="+mn-cs"/>
            </a:rPr>
            <a:t>-- Service mix / intensity trend measures shifts in the underlying distribution of services. It captures how the mix of services within a benefit category changes from one period to the next. Because of changes in service mix / intensity, the average unit cost within a benefit category may increase or decrease from one period to the next even if nothing changes in provider reimbursement per unit.</a:t>
          </a:r>
        </a:p>
        <a:p>
          <a:pPr>
            <a:lnSpc>
              <a:spcPct val="108000"/>
            </a:lnSpc>
          </a:pPr>
          <a:endParaRPr lang="en-US" sz="600" b="0" i="0" kern="1200" baseline="0">
            <a:solidFill>
              <a:sysClr val="windowText" lastClr="000000"/>
            </a:solidFill>
            <a:effectLst/>
            <a:latin typeface="+mn-lt"/>
            <a:ea typeface="+mn-ea"/>
            <a:cs typeface="+mn-cs"/>
          </a:endParaRPr>
        </a:p>
        <a:p>
          <a:pPr marL="182880">
            <a:lnSpc>
              <a:spcPct val="108000"/>
            </a:lnSpc>
          </a:pPr>
          <a:r>
            <a:rPr lang="en-US" sz="1200" b="1" i="1" kern="1200" baseline="0">
              <a:solidFill>
                <a:sysClr val="windowText" lastClr="000000"/>
              </a:solidFill>
              <a:effectLst/>
              <a:latin typeface="+mn-lt"/>
              <a:ea typeface="+mn-ea"/>
              <a:cs typeface="+mn-cs"/>
            </a:rPr>
            <a:t>Note that a simplified illustrative example of the benefit category level estimate is available in the "SvcIntensity_Example" sheet.</a:t>
          </a:r>
        </a:p>
        <a:p>
          <a:pPr>
            <a:lnSpc>
              <a:spcPct val="108000"/>
            </a:lnSpc>
          </a:pPr>
          <a:endParaRPr lang="en-US" sz="1200" b="0" i="0" kern="1200" baseline="0">
            <a:solidFill>
              <a:sysClr val="windowText" lastClr="000000"/>
            </a:solidFill>
            <a:effectLst/>
            <a:latin typeface="+mn-lt"/>
            <a:ea typeface="+mn-ea"/>
            <a:cs typeface="+mn-cs"/>
          </a:endParaRPr>
        </a:p>
        <a:p>
          <a:pPr>
            <a:lnSpc>
              <a:spcPct val="108000"/>
            </a:lnSpc>
          </a:pPr>
          <a:r>
            <a:rPr lang="en-US" sz="1400" b="1" i="0" u="sng" kern="1200" baseline="0">
              <a:solidFill>
                <a:schemeClr val="tx2"/>
              </a:solidFill>
              <a:effectLst/>
              <a:latin typeface="+mn-lt"/>
              <a:ea typeface="+mn-ea"/>
              <a:cs typeface="+mn-cs"/>
            </a:rPr>
            <a:t>3. Comments</a:t>
          </a:r>
        </a:p>
        <a:p>
          <a:pPr marL="182880">
            <a:lnSpc>
              <a:spcPct val="108000"/>
            </a:lnSpc>
          </a:pPr>
          <a:r>
            <a:rPr lang="en-US" sz="1200" b="0" i="0" kern="1200" baseline="0">
              <a:solidFill>
                <a:sysClr val="windowText" lastClr="000000"/>
              </a:solidFill>
              <a:effectLst/>
              <a:latin typeface="+mn-lt"/>
              <a:ea typeface="+mn-ea"/>
              <a:cs typeface="+mn-cs"/>
            </a:rPr>
            <a:t>• Input notes in the yellow cells.</a:t>
          </a:r>
        </a:p>
        <a:p>
          <a:pPr marL="182880">
            <a:lnSpc>
              <a:spcPct val="108000"/>
            </a:lnSpc>
          </a:pPr>
          <a:r>
            <a:rPr lang="en-US" sz="1200" b="0" i="0" kern="1200" baseline="0">
              <a:solidFill>
                <a:sysClr val="windowText" lastClr="000000"/>
              </a:solidFill>
              <a:effectLst/>
              <a:latin typeface="+mn-lt"/>
              <a:ea typeface="+mn-ea"/>
              <a:cs typeface="+mn-cs"/>
            </a:rPr>
            <a:t>• Identify the source of the information provided.</a:t>
          </a:r>
        </a:p>
        <a:p>
          <a:pPr marL="182880">
            <a:lnSpc>
              <a:spcPct val="108000"/>
            </a:lnSpc>
          </a:pPr>
          <a:r>
            <a:rPr lang="en-US" sz="1200" b="0" i="0" kern="1200" baseline="0">
              <a:solidFill>
                <a:sysClr val="windowText" lastClr="000000"/>
              </a:solidFill>
              <a:effectLst/>
              <a:latin typeface="+mn-lt"/>
              <a:ea typeface="+mn-ea"/>
              <a:cs typeface="+mn-cs"/>
            </a:rPr>
            <a:t>• Identify any data engineering or modeling methodology used to adjust or estimate the information provided. </a:t>
          </a:r>
          <a:endParaRPr lang="en-US" sz="1200" i="0">
            <a:solidFill>
              <a:sysClr val="windowText" lastClr="000000"/>
            </a:solidFill>
            <a:effectLst/>
            <a:latin typeface="+mn-lt"/>
            <a:ea typeface="+mn-ea"/>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149679</xdr:colOff>
      <xdr:row>7</xdr:row>
      <xdr:rowOff>136070</xdr:rowOff>
    </xdr:from>
    <xdr:to>
      <xdr:col>27</xdr:col>
      <xdr:colOff>340178</xdr:colOff>
      <xdr:row>47</xdr:row>
      <xdr:rowOff>204108</xdr:rowOff>
    </xdr:to>
    <xdr:sp macro="" textlink="">
      <xdr:nvSpPr>
        <xdr:cNvPr id="2" name="Rectangle 7">
          <a:extLst>
            <a:ext uri="{FF2B5EF4-FFF2-40B4-BE49-F238E27FC236}">
              <a16:creationId xmlns:a16="http://schemas.microsoft.com/office/drawing/2014/main" id="{8D71F0FB-434E-48F3-8968-E5B2366BA9E3}"/>
            </a:ext>
          </a:extLst>
        </xdr:cNvPr>
        <xdr:cNvSpPr/>
      </xdr:nvSpPr>
      <xdr:spPr>
        <a:xfrm>
          <a:off x="15275379" y="1726745"/>
          <a:ext cx="7505699" cy="9012013"/>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3 Instructions</a:t>
          </a:r>
        </a:p>
        <a:p>
          <a:pPr algn="l">
            <a:lnSpc>
              <a:spcPct val="108000"/>
            </a:lnSpc>
          </a:pPr>
          <a:r>
            <a:rPr lang="en-US" sz="1200" b="0" i="0" u="none" strike="noStrike" kern="1200">
              <a:solidFill>
                <a:sysClr val="windowText" lastClr="000000"/>
              </a:solidFill>
              <a:effectLst/>
              <a:latin typeface="+mn-lt"/>
              <a:ea typeface="+mn-ea"/>
              <a:cs typeface="+mn-cs"/>
            </a:rPr>
            <a:t>Note: This exhibit supports URRT Worksheet 1 trends.</a:t>
          </a:r>
        </a:p>
        <a:p>
          <a:pPr algn="l">
            <a:lnSpc>
              <a:spcPct val="108000"/>
            </a:lnSpc>
          </a:pPr>
          <a:r>
            <a:rPr lang="en-US" sz="1400" b="1" i="0" u="sng" strike="noStrike" kern="1200">
              <a:solidFill>
                <a:schemeClr val="tx2"/>
              </a:solidFill>
              <a:effectLst/>
              <a:latin typeface="+mn-lt"/>
              <a:ea typeface="+mn-ea"/>
              <a:cs typeface="+mn-cs"/>
            </a:rPr>
            <a:t>1. EXPERIENCE &amp; PROJECTED DATA -- UNITS &amp; UNIT COST</a:t>
          </a:r>
        </a:p>
        <a:p>
          <a:pPr marL="365760" indent="-182880" algn="l">
            <a:lnSpc>
              <a:spcPct val="108000"/>
            </a:lnSpc>
          </a:pPr>
          <a:r>
            <a:rPr lang="en-US" sz="1200" b="0" i="0" u="none" strike="noStrike" kern="1200">
              <a:solidFill>
                <a:sysClr val="windowText" lastClr="000000"/>
              </a:solidFill>
              <a:effectLst/>
              <a:latin typeface="+mn-lt"/>
              <a:ea typeface="+mn-ea"/>
              <a:cs typeface="+mn-cs"/>
            </a:rPr>
            <a:t>a. Input</a:t>
          </a:r>
          <a:r>
            <a:rPr lang="en-US" sz="1200" i="0">
              <a:solidFill>
                <a:sysClr val="windowText" lastClr="000000"/>
              </a:solidFill>
              <a:effectLst/>
              <a:latin typeface="+mn-lt"/>
              <a:ea typeface="+mn-ea"/>
              <a:cs typeface="+mn-cs"/>
            </a:rPr>
            <a:t> actual experience in the yellow cells in columns C &amp; D, based on experience (or</a:t>
          </a:r>
          <a:r>
            <a:rPr lang="en-US" sz="1200" i="0" baseline="0">
              <a:solidFill>
                <a:sysClr val="windowText" lastClr="000000"/>
              </a:solidFill>
              <a:effectLst/>
              <a:latin typeface="+mn-lt"/>
              <a:ea typeface="+mn-ea"/>
              <a:cs typeface="+mn-cs"/>
            </a:rPr>
            <a:t> projections) </a:t>
          </a:r>
          <a:r>
            <a:rPr lang="en-US" sz="1200" i="0">
              <a:solidFill>
                <a:sysClr val="windowText" lastClr="000000"/>
              </a:solidFill>
              <a:effectLst/>
              <a:latin typeface="+mn-lt"/>
              <a:ea typeface="+mn-ea"/>
              <a:cs typeface="+mn-cs"/>
            </a:rPr>
            <a:t>for this Washington State market for each</a:t>
          </a:r>
          <a:r>
            <a:rPr lang="en-US" sz="1200" i="0" baseline="0">
              <a:solidFill>
                <a:sysClr val="windowText" lastClr="000000"/>
              </a:solidFill>
              <a:effectLst/>
              <a:latin typeface="+mn-lt"/>
              <a:ea typeface="+mn-ea"/>
              <a:cs typeface="+mn-cs"/>
            </a:rPr>
            <a:t> plan year. </a:t>
          </a:r>
        </a:p>
        <a:p>
          <a:pPr marL="365760" indent="-182880" algn="l">
            <a:lnSpc>
              <a:spcPct val="108000"/>
            </a:lnSpc>
          </a:pPr>
          <a:r>
            <a:rPr lang="en-US" sz="1200" b="0" i="0" kern="1200">
              <a:solidFill>
                <a:sysClr val="windowText" lastClr="000000"/>
              </a:solidFill>
              <a:effectLst/>
              <a:latin typeface="+mn-lt"/>
              <a:ea typeface="+mn-ea"/>
              <a:cs typeface="+mn-cs"/>
            </a:rPr>
            <a:t>b. If you must estimate utilization data</a:t>
          </a:r>
          <a:r>
            <a:rPr lang="en-US" sz="1200" b="0" i="0" kern="1200" baseline="0">
              <a:solidFill>
                <a:sysClr val="windowText" lastClr="000000"/>
              </a:solidFill>
              <a:effectLst/>
              <a:latin typeface="+mn-lt"/>
              <a:ea typeface="+mn-ea"/>
              <a:cs typeface="+mn-cs"/>
            </a:rPr>
            <a:t> due to claims data limitations, in Comments at the bottom of this worksheet, identify the limitation(s) and explain how you modeled units. </a:t>
          </a:r>
          <a:endParaRPr lang="en-US" sz="1200" i="0">
            <a:solidFill>
              <a:sysClr val="windowText" lastClr="000000"/>
            </a:solidFill>
            <a:effectLst/>
            <a:latin typeface="+mn-lt"/>
            <a:ea typeface="+mn-ea"/>
            <a:cs typeface="+mn-cs"/>
          </a:endParaRPr>
        </a:p>
        <a:p>
          <a:pPr marL="365760" indent="-182880">
            <a:lnSpc>
              <a:spcPct val="108000"/>
            </a:lnSpc>
          </a:pPr>
          <a:r>
            <a:rPr lang="en-US" sz="1200" i="0">
              <a:solidFill>
                <a:sysClr val="windowText" lastClr="000000"/>
              </a:solidFill>
              <a:effectLst/>
              <a:latin typeface="+mn-lt"/>
              <a:ea typeface="+mn-ea"/>
              <a:cs typeface="+mn-cs"/>
            </a:rPr>
            <a:t>c. </a:t>
          </a:r>
          <a:r>
            <a:rPr lang="en-US" sz="1200" b="1" i="0">
              <a:solidFill>
                <a:sysClr val="windowText" lastClr="000000"/>
              </a:solidFill>
              <a:effectLst/>
              <a:latin typeface="+mn-lt"/>
              <a:ea typeface="+mn-ea"/>
              <a:cs typeface="+mn-cs"/>
            </a:rPr>
            <a:t>Frequency Units</a:t>
          </a:r>
          <a:r>
            <a:rPr lang="en-US" sz="1200" i="0">
              <a:solidFill>
                <a:sysClr val="windowText" lastClr="000000"/>
              </a:solidFill>
              <a:effectLst/>
              <a:latin typeface="+mn-lt"/>
              <a:ea typeface="+mn-ea"/>
              <a:cs typeface="+mn-cs"/>
            </a:rPr>
            <a:t> describe</a:t>
          </a:r>
          <a:r>
            <a:rPr lang="en-US" sz="1200" i="0" baseline="0">
              <a:solidFill>
                <a:sysClr val="windowText" lastClr="000000"/>
              </a:solidFill>
              <a:effectLst/>
              <a:latin typeface="+mn-lt"/>
              <a:ea typeface="+mn-ea"/>
              <a:cs typeface="+mn-cs"/>
            </a:rPr>
            <a:t> the amounts in the "Units per 1,000" column.</a:t>
          </a:r>
        </a:p>
        <a:p>
          <a:pPr marL="365760" indent="-182880">
            <a:lnSpc>
              <a:spcPct val="108000"/>
            </a:lnSpc>
          </a:pPr>
          <a:r>
            <a:rPr lang="en-US" sz="1200" i="0" baseline="0">
              <a:solidFill>
                <a:sysClr val="windowText" lastClr="000000"/>
              </a:solidFill>
              <a:effectLst/>
              <a:latin typeface="+mn-lt"/>
              <a:ea typeface="+mn-ea"/>
              <a:cs typeface="+mn-cs"/>
            </a:rPr>
            <a:t>    -- For inpatient hospital, "Days" are selected to capture all lengths of stay, not just a count of admissions.</a:t>
          </a:r>
        </a:p>
        <a:p>
          <a:pPr marL="365760" indent="-182880">
            <a:lnSpc>
              <a:spcPct val="108000"/>
            </a:lnSpc>
          </a:pPr>
          <a:r>
            <a:rPr lang="en-US" sz="1200" i="0" baseline="0">
              <a:solidFill>
                <a:sysClr val="windowText" lastClr="000000"/>
              </a:solidFill>
              <a:effectLst/>
              <a:latin typeface="+mn-lt"/>
              <a:ea typeface="+mn-ea"/>
              <a:cs typeface="+mn-cs"/>
            </a:rPr>
            <a:t>    -- For outpatient hospital and professional benefits, "Services" are selected based on a common unit value used by carriers and will recognize multiple services per visit and multiple services per claim. </a:t>
          </a:r>
        </a:p>
        <a:p>
          <a:pPr marL="365760" indent="-182880">
            <a:lnSpc>
              <a:spcPct val="108000"/>
            </a:lnSpc>
          </a:pPr>
          <a:r>
            <a:rPr lang="en-US" sz="1200" i="0" baseline="0">
              <a:solidFill>
                <a:sysClr val="windowText" lastClr="000000"/>
              </a:solidFill>
              <a:effectLst/>
              <a:latin typeface="+mn-lt"/>
              <a:ea typeface="+mn-ea"/>
              <a:cs typeface="+mn-cs"/>
            </a:rPr>
            <a:t>    -- For prescription drugs, "Days Filled" recognizes that when prescriptions are filled, they may cover a different number of days. Consider, for example, that mail-order prescriptions typically cover more days than retail prescriptions.</a:t>
          </a:r>
        </a:p>
        <a:p>
          <a:pPr marL="365760" indent="-182880">
            <a:lnSpc>
              <a:spcPct val="108000"/>
            </a:lnSpc>
          </a:pPr>
          <a:r>
            <a:rPr lang="en-US" sz="1200" i="0" baseline="0">
              <a:solidFill>
                <a:sysClr val="windowText" lastClr="000000"/>
              </a:solidFill>
              <a:effectLst/>
              <a:latin typeface="+mn-lt"/>
              <a:ea typeface="+mn-ea"/>
              <a:cs typeface="+mn-cs"/>
            </a:rPr>
            <a:t>d. </a:t>
          </a:r>
          <a:r>
            <a:rPr lang="en-US" sz="1200" b="1" i="0" baseline="0">
              <a:solidFill>
                <a:sysClr val="windowText" lastClr="000000"/>
              </a:solidFill>
              <a:effectLst/>
              <a:latin typeface="+mn-lt"/>
              <a:ea typeface="+mn-ea"/>
              <a:cs typeface="+mn-cs"/>
            </a:rPr>
            <a:t>Units per 1,000</a:t>
          </a:r>
          <a:r>
            <a:rPr lang="en-US" sz="1200" i="0" baseline="0">
              <a:solidFill>
                <a:sysClr val="windowText" lastClr="000000"/>
              </a:solidFill>
              <a:effectLst/>
              <a:latin typeface="+mn-lt"/>
              <a:ea typeface="+mn-ea"/>
              <a:cs typeface="+mn-cs"/>
            </a:rPr>
            <a:t> measure utilization per 1,000 members per year. Calculated as (number of units per 1,000 members) = (Sum of units for the year across all members) / (Total member months for the year) x 12,000.</a:t>
          </a:r>
        </a:p>
        <a:p>
          <a:pPr marL="365760" indent="-182880">
            <a:lnSpc>
              <a:spcPct val="108000"/>
            </a:lnSpc>
          </a:pPr>
          <a:r>
            <a:rPr lang="en-US" sz="1200" i="0" baseline="0">
              <a:solidFill>
                <a:sysClr val="windowText" lastClr="000000"/>
              </a:solidFill>
              <a:effectLst/>
              <a:latin typeface="+mn-lt"/>
              <a:ea typeface="+mn-ea"/>
              <a:cs typeface="+mn-cs"/>
            </a:rPr>
            <a:t>e. </a:t>
          </a:r>
          <a:r>
            <a:rPr lang="en-US" sz="1200" b="1" i="0" baseline="0">
              <a:solidFill>
                <a:sysClr val="windowText" lastClr="000000"/>
              </a:solidFill>
              <a:effectLst/>
              <a:latin typeface="+mn-lt"/>
              <a:ea typeface="+mn-ea"/>
              <a:cs typeface="+mn-cs"/>
            </a:rPr>
            <a:t>Unit cost</a:t>
          </a:r>
          <a:r>
            <a:rPr lang="en-US" sz="1200" i="0" baseline="0">
              <a:solidFill>
                <a:sysClr val="windowText" lastClr="000000"/>
              </a:solidFill>
              <a:effectLst/>
              <a:latin typeface="+mn-lt"/>
              <a:ea typeface="+mn-ea"/>
              <a:cs typeface="+mn-cs"/>
            </a:rPr>
            <a:t> measures the average cost per unit within each category (i.e., an average cost per occurrence). The amount will vary by benefit category, such as inpatient, outpatient, professional, and prescription rug.</a:t>
          </a:r>
        </a:p>
        <a:p>
          <a:pPr marL="365760" indent="-182880">
            <a:lnSpc>
              <a:spcPct val="108000"/>
            </a:lnSpc>
          </a:pPr>
          <a:r>
            <a:rPr lang="en-US" sz="1200" i="0" baseline="0">
              <a:solidFill>
                <a:sysClr val="windowText" lastClr="000000"/>
              </a:solidFill>
              <a:effectLst/>
              <a:latin typeface="+mn-lt"/>
              <a:ea typeface="+mn-ea"/>
              <a:cs typeface="+mn-cs"/>
            </a:rPr>
            <a:t>f. Add notes, as needed, to Comments at the bottom of this worksheet.</a:t>
          </a:r>
        </a:p>
        <a:p>
          <a:pPr>
            <a:lnSpc>
              <a:spcPct val="108000"/>
            </a:lnSpc>
          </a:pPr>
          <a:endParaRPr lang="en-US" sz="1200" i="0" baseline="0">
            <a:solidFill>
              <a:sysClr val="windowText" lastClr="000000"/>
            </a:solidFill>
            <a:effectLst/>
            <a:latin typeface="+mn-lt"/>
            <a:ea typeface="+mn-ea"/>
            <a:cs typeface="+mn-cs"/>
          </a:endParaRPr>
        </a:p>
        <a:p>
          <a:pPr>
            <a:lnSpc>
              <a:spcPct val="108000"/>
            </a:lnSpc>
          </a:pPr>
          <a:r>
            <a:rPr lang="en-US" sz="1400" b="1" i="0" u="sng" baseline="0">
              <a:solidFill>
                <a:schemeClr val="tx2"/>
              </a:solidFill>
              <a:effectLst/>
              <a:latin typeface="+mn-lt"/>
              <a:ea typeface="+mn-ea"/>
              <a:cs typeface="+mn-cs"/>
            </a:rPr>
            <a:t>2. EXPERIENCE &amp; PROJECTED TRENDS</a:t>
          </a:r>
        </a:p>
        <a:p>
          <a:pPr marL="182880">
            <a:lnSpc>
              <a:spcPct val="108000"/>
            </a:lnSpc>
          </a:pPr>
          <a:r>
            <a:rPr lang="en-US" sz="1200" b="0" i="0" kern="1200" baseline="0">
              <a:solidFill>
                <a:sysClr val="windowText" lastClr="000000"/>
              </a:solidFill>
              <a:effectLst/>
              <a:latin typeface="+mn-lt"/>
              <a:ea typeface="+mn-ea"/>
              <a:cs typeface="+mn-cs"/>
            </a:rPr>
            <a:t>Input Washington State trends in the yellow cells in columns K &amp; L. </a:t>
          </a:r>
        </a:p>
        <a:p>
          <a:pPr marL="182880">
            <a:lnSpc>
              <a:spcPct val="108000"/>
            </a:lnSpc>
          </a:pPr>
          <a:r>
            <a:rPr lang="en-US" sz="1200" b="0" i="0" kern="1200" baseline="0">
              <a:solidFill>
                <a:sysClr val="windowText" lastClr="000000"/>
              </a:solidFill>
              <a:effectLst/>
              <a:latin typeface="+mn-lt"/>
              <a:ea typeface="+mn-ea"/>
              <a:cs typeface="+mn-cs"/>
            </a:rPr>
            <a:t>Input both estimated reimbursement trends and service mix/intensity trends. </a:t>
          </a:r>
        </a:p>
        <a:p>
          <a:pPr marL="182880">
            <a:lnSpc>
              <a:spcPct val="108000"/>
            </a:lnSpc>
          </a:pPr>
          <a:r>
            <a:rPr lang="en-US" sz="1200" b="0" i="0" kern="1200" baseline="0">
              <a:solidFill>
                <a:sysClr val="windowText" lastClr="000000"/>
              </a:solidFill>
              <a:effectLst/>
              <a:latin typeface="+mn-lt"/>
              <a:ea typeface="+mn-ea"/>
              <a:cs typeface="+mn-cs"/>
            </a:rPr>
            <a:t>See below for additional information.</a:t>
          </a:r>
        </a:p>
        <a:p>
          <a:pPr marL="182880">
            <a:lnSpc>
              <a:spcPct val="108000"/>
            </a:lnSpc>
          </a:pPr>
          <a:r>
            <a:rPr lang="en-US" sz="1200" b="0" i="0" kern="1200" baseline="0">
              <a:solidFill>
                <a:sysClr val="windowText" lastClr="000000"/>
              </a:solidFill>
              <a:effectLst/>
              <a:latin typeface="+mn-lt"/>
              <a:ea typeface="+mn-ea"/>
              <a:cs typeface="+mn-cs"/>
            </a:rPr>
            <a:t>-- Because unit cost is a summary statistic, it can be split into two subcomponents:</a:t>
          </a:r>
        </a:p>
        <a:p>
          <a:pPr marL="548640" indent="-182880">
            <a:lnSpc>
              <a:spcPct val="108000"/>
            </a:lnSpc>
          </a:pPr>
          <a:r>
            <a:rPr lang="en-US" sz="1200" b="0" i="0" kern="1200" baseline="0">
              <a:solidFill>
                <a:sysClr val="windowText" lastClr="000000"/>
              </a:solidFill>
              <a:effectLst/>
              <a:latin typeface="+mn-lt"/>
              <a:ea typeface="+mn-ea"/>
              <a:cs typeface="+mn-cs"/>
            </a:rPr>
            <a:t>(1) </a:t>
          </a:r>
          <a:r>
            <a:rPr lang="en-US" sz="1200" b="1" i="0" kern="1200" baseline="0">
              <a:solidFill>
                <a:sysClr val="windowText" lastClr="000000"/>
              </a:solidFill>
              <a:effectLst/>
              <a:latin typeface="+mn-lt"/>
              <a:ea typeface="+mn-ea"/>
              <a:cs typeface="+mn-cs"/>
            </a:rPr>
            <a:t>Reimbursement</a:t>
          </a:r>
          <a:r>
            <a:rPr lang="en-US" sz="1200" b="0" i="0" kern="1200" baseline="0">
              <a:solidFill>
                <a:sysClr val="windowText" lastClr="000000"/>
              </a:solidFill>
              <a:effectLst/>
              <a:latin typeface="+mn-lt"/>
              <a:ea typeface="+mn-ea"/>
              <a:cs typeface="+mn-cs"/>
            </a:rPr>
            <a:t>, as determined by provider reimbursement rates (i.e., what is paid to provider for each service)</a:t>
          </a:r>
        </a:p>
        <a:p>
          <a:pPr marL="548640" indent="-182880">
            <a:lnSpc>
              <a:spcPct val="108000"/>
            </a:lnSpc>
          </a:pPr>
          <a:r>
            <a:rPr lang="en-US" sz="1200" b="0" i="0" kern="1200" baseline="0">
              <a:solidFill>
                <a:sysClr val="windowText" lastClr="000000"/>
              </a:solidFill>
              <a:effectLst/>
              <a:latin typeface="+mn-lt"/>
              <a:ea typeface="+mn-ea"/>
              <a:cs typeface="+mn-cs"/>
            </a:rPr>
            <a:t>(2) </a:t>
          </a:r>
          <a:r>
            <a:rPr lang="en-US" sz="1200" b="1" i="0" kern="1200" baseline="0">
              <a:solidFill>
                <a:sysClr val="windowText" lastClr="000000"/>
              </a:solidFill>
              <a:effectLst/>
              <a:latin typeface="+mn-lt"/>
              <a:ea typeface="+mn-ea"/>
              <a:cs typeface="+mn-cs"/>
            </a:rPr>
            <a:t>Service mix / intensity</a:t>
          </a:r>
          <a:r>
            <a:rPr lang="en-US" sz="1200" b="0" i="0" kern="1200" baseline="0">
              <a:solidFill>
                <a:sysClr val="windowText" lastClr="000000"/>
              </a:solidFill>
              <a:effectLst/>
              <a:latin typeface="+mn-lt"/>
              <a:ea typeface="+mn-ea"/>
              <a:cs typeface="+mn-cs"/>
            </a:rPr>
            <a:t>, as determined by the distribution of services within the benefit category</a:t>
          </a:r>
        </a:p>
        <a:p>
          <a:pPr marL="182880">
            <a:lnSpc>
              <a:spcPct val="108000"/>
            </a:lnSpc>
          </a:pPr>
          <a:endParaRPr lang="en-US" sz="600" b="0" i="0" kern="1200" baseline="0">
            <a:solidFill>
              <a:sysClr val="windowText" lastClr="000000"/>
            </a:solidFill>
            <a:effectLst/>
            <a:latin typeface="+mn-lt"/>
            <a:ea typeface="+mn-ea"/>
            <a:cs typeface="+mn-cs"/>
          </a:endParaRPr>
        </a:p>
        <a:p>
          <a:pPr marL="182880">
            <a:lnSpc>
              <a:spcPct val="108000"/>
            </a:lnSpc>
          </a:pPr>
          <a:r>
            <a:rPr lang="en-US" sz="1200" b="0" i="0" kern="1200" baseline="0">
              <a:solidFill>
                <a:sysClr val="windowText" lastClr="000000"/>
              </a:solidFill>
              <a:effectLst/>
              <a:latin typeface="+mn-lt"/>
              <a:ea typeface="+mn-ea"/>
              <a:cs typeface="+mn-cs"/>
            </a:rPr>
            <a:t>-- Reimbursement trend measures the change in reimbursements but does not account for shifts in the distribution of services. To measure reimbursement trend, the service mix is held constant.</a:t>
          </a:r>
        </a:p>
        <a:p>
          <a:pPr marL="182880">
            <a:lnSpc>
              <a:spcPct val="108000"/>
            </a:lnSpc>
          </a:pPr>
          <a:endParaRPr lang="en-US" sz="600" b="0" i="0" kern="1200" baseline="0">
            <a:solidFill>
              <a:sysClr val="windowText" lastClr="000000"/>
            </a:solidFill>
            <a:effectLst/>
            <a:latin typeface="+mn-lt"/>
            <a:ea typeface="+mn-ea"/>
            <a:cs typeface="+mn-cs"/>
          </a:endParaRPr>
        </a:p>
        <a:p>
          <a:pPr marL="182880">
            <a:lnSpc>
              <a:spcPct val="108000"/>
            </a:lnSpc>
          </a:pPr>
          <a:r>
            <a:rPr lang="en-US" sz="1200" b="0" i="0" kern="1200" baseline="0">
              <a:solidFill>
                <a:sysClr val="windowText" lastClr="000000"/>
              </a:solidFill>
              <a:effectLst/>
              <a:latin typeface="+mn-lt"/>
              <a:ea typeface="+mn-ea"/>
              <a:cs typeface="+mn-cs"/>
            </a:rPr>
            <a:t>-- Service mix / intensity trend measures shifts in the underlying distribution of services. It captures how the mix of services within a benefit category changes from one period to the next. Because of changes in service mix / intensity, the average unit cost within a benefit category may increase or decrease from one period to the next even if nothing changes in provider reimbursement per unit.</a:t>
          </a:r>
        </a:p>
        <a:p>
          <a:pPr>
            <a:lnSpc>
              <a:spcPct val="108000"/>
            </a:lnSpc>
          </a:pPr>
          <a:endParaRPr lang="en-US" sz="600" b="0" i="0" kern="1200" baseline="0">
            <a:solidFill>
              <a:sysClr val="windowText" lastClr="000000"/>
            </a:solidFill>
            <a:effectLst/>
            <a:latin typeface="+mn-lt"/>
            <a:ea typeface="+mn-ea"/>
            <a:cs typeface="+mn-cs"/>
          </a:endParaRPr>
        </a:p>
        <a:p>
          <a:pPr marL="182880">
            <a:lnSpc>
              <a:spcPct val="108000"/>
            </a:lnSpc>
          </a:pPr>
          <a:r>
            <a:rPr lang="en-US" sz="1200" b="1" i="1" kern="1200" baseline="0">
              <a:solidFill>
                <a:sysClr val="windowText" lastClr="000000"/>
              </a:solidFill>
              <a:effectLst/>
              <a:latin typeface="+mn-lt"/>
              <a:ea typeface="+mn-ea"/>
              <a:cs typeface="+mn-cs"/>
            </a:rPr>
            <a:t>Note that a simplified illustrative example of the benefit category level estimate is available in the "SvcIntensity_Example" sheet.</a:t>
          </a:r>
        </a:p>
        <a:p>
          <a:pPr>
            <a:lnSpc>
              <a:spcPct val="108000"/>
            </a:lnSpc>
          </a:pPr>
          <a:endParaRPr lang="en-US" sz="1200" b="0" i="0" kern="1200" baseline="0">
            <a:solidFill>
              <a:sysClr val="windowText" lastClr="000000"/>
            </a:solidFill>
            <a:effectLst/>
            <a:latin typeface="+mn-lt"/>
            <a:ea typeface="+mn-ea"/>
            <a:cs typeface="+mn-cs"/>
          </a:endParaRPr>
        </a:p>
        <a:p>
          <a:pPr>
            <a:lnSpc>
              <a:spcPct val="108000"/>
            </a:lnSpc>
          </a:pPr>
          <a:r>
            <a:rPr lang="en-US" sz="1400" b="1" i="0" u="sng" kern="1200" baseline="0">
              <a:solidFill>
                <a:schemeClr val="tx2"/>
              </a:solidFill>
              <a:effectLst/>
              <a:latin typeface="+mn-lt"/>
              <a:ea typeface="+mn-ea"/>
              <a:cs typeface="+mn-cs"/>
            </a:rPr>
            <a:t>3. Comments</a:t>
          </a:r>
        </a:p>
        <a:p>
          <a:pPr marL="182880">
            <a:lnSpc>
              <a:spcPct val="108000"/>
            </a:lnSpc>
          </a:pPr>
          <a:r>
            <a:rPr lang="en-US" sz="1200" b="0" i="0" kern="1200" baseline="0">
              <a:solidFill>
                <a:sysClr val="windowText" lastClr="000000"/>
              </a:solidFill>
              <a:effectLst/>
              <a:latin typeface="+mn-lt"/>
              <a:ea typeface="+mn-ea"/>
              <a:cs typeface="+mn-cs"/>
            </a:rPr>
            <a:t>• Input notes in the yellow cells.</a:t>
          </a:r>
        </a:p>
        <a:p>
          <a:pPr marL="182880">
            <a:lnSpc>
              <a:spcPct val="108000"/>
            </a:lnSpc>
          </a:pPr>
          <a:r>
            <a:rPr lang="en-US" sz="1200" b="0" i="0" kern="1200" baseline="0">
              <a:solidFill>
                <a:sysClr val="windowText" lastClr="000000"/>
              </a:solidFill>
              <a:effectLst/>
              <a:latin typeface="+mn-lt"/>
              <a:ea typeface="+mn-ea"/>
              <a:cs typeface="+mn-cs"/>
            </a:rPr>
            <a:t>• Identify the source of the information provided.</a:t>
          </a:r>
        </a:p>
        <a:p>
          <a:pPr marL="182880">
            <a:lnSpc>
              <a:spcPct val="108000"/>
            </a:lnSpc>
          </a:pPr>
          <a:r>
            <a:rPr lang="en-US" sz="1200" b="0" i="0" kern="1200" baseline="0">
              <a:solidFill>
                <a:sysClr val="windowText" lastClr="000000"/>
              </a:solidFill>
              <a:effectLst/>
              <a:latin typeface="+mn-lt"/>
              <a:ea typeface="+mn-ea"/>
              <a:cs typeface="+mn-cs"/>
            </a:rPr>
            <a:t>• Identify any data engineering or modeling methodology used to adjust or estimate the information provided. </a:t>
          </a:r>
          <a:endParaRPr lang="en-US" sz="1200" i="0">
            <a:solidFill>
              <a:sysClr val="windowText" lastClr="000000"/>
            </a:solidFill>
            <a:effectLst/>
            <a:latin typeface="+mn-lt"/>
            <a:ea typeface="+mn-ea"/>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21</xdr:col>
      <xdr:colOff>126174</xdr:colOff>
      <xdr:row>7</xdr:row>
      <xdr:rowOff>259771</xdr:rowOff>
    </xdr:from>
    <xdr:to>
      <xdr:col>22</xdr:col>
      <xdr:colOff>0</xdr:colOff>
      <xdr:row>45</xdr:row>
      <xdr:rowOff>34636</xdr:rowOff>
    </xdr:to>
    <xdr:sp macro="" textlink="">
      <xdr:nvSpPr>
        <xdr:cNvPr id="3" name="Rectangle 1">
          <a:extLst>
            <a:ext uri="{FF2B5EF4-FFF2-40B4-BE49-F238E27FC236}">
              <a16:creationId xmlns:a16="http://schemas.microsoft.com/office/drawing/2014/main" id="{642F26D6-999A-4D17-ABC3-E99C2CB1B0A0}"/>
            </a:ext>
          </a:extLst>
        </xdr:cNvPr>
        <xdr:cNvSpPr/>
      </xdr:nvSpPr>
      <xdr:spPr>
        <a:xfrm>
          <a:off x="27038629" y="2130135"/>
          <a:ext cx="6420098" cy="8607137"/>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4 Instructions</a:t>
          </a:r>
        </a:p>
        <a:p>
          <a:r>
            <a:rPr lang="en-US" sz="1400" b="1" u="sng">
              <a:solidFill>
                <a:schemeClr val="tx2"/>
              </a:solidFill>
              <a:effectLst/>
              <a:latin typeface="+mn-lt"/>
              <a:ea typeface="+mn-ea"/>
              <a:cs typeface="+mn-cs"/>
            </a:rPr>
            <a:t>Purpose</a:t>
          </a:r>
        </a:p>
        <a:p>
          <a:pPr marL="182880" indent="0">
            <a:lnSpc>
              <a:spcPct val="108000"/>
            </a:lnSpc>
          </a:pPr>
          <a:r>
            <a:rPr lang="en-US" sz="1200">
              <a:solidFill>
                <a:sysClr val="windowText" lastClr="000000"/>
              </a:solidFill>
              <a:effectLst/>
              <a:latin typeface="+mn-lt"/>
              <a:ea typeface="+mn-ea"/>
              <a:cs typeface="+mn-cs"/>
            </a:rPr>
            <a:t>The purpose of this template is to provide Washington State experience trend that is normalized for allowable rating factors in the URRT. This information is needed for support of retrospective trend and as a starting point for consideration of prospective trend adjustments.							</a:t>
          </a:r>
        </a:p>
        <a:p>
          <a:pPr lvl="0"/>
          <a:r>
            <a:rPr lang="en-US" sz="1400" b="1" u="sng">
              <a:solidFill>
                <a:schemeClr val="tx2"/>
              </a:solidFill>
              <a:effectLst/>
              <a:latin typeface="+mn-lt"/>
              <a:ea typeface="+mn-ea"/>
              <a:cs typeface="+mn-cs"/>
            </a:rPr>
            <a:t>Table 3.1</a:t>
          </a:r>
        </a:p>
        <a:p>
          <a:pPr marL="365760" lvl="0" indent="-182880">
            <a:lnSpc>
              <a:spcPct val="108000"/>
            </a:lnSpc>
          </a:pPr>
          <a:r>
            <a:rPr lang="en-US" sz="1200" b="0" u="none">
              <a:solidFill>
                <a:sysClr val="windowText" lastClr="000000"/>
              </a:solidFill>
              <a:effectLst/>
              <a:latin typeface="+mn-lt"/>
              <a:ea typeface="+mn-ea"/>
              <a:cs typeface="+mn-cs"/>
            </a:rPr>
            <a:t> a.</a:t>
          </a:r>
          <a:r>
            <a:rPr lang="en-US" sz="1200" b="0" u="none"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Complete the table below using monthly experience, the cells formatted yellow are intended for carrier inputs.</a:t>
          </a:r>
        </a:p>
        <a:p>
          <a:pPr marL="365760" lvl="0" indent="-182880">
            <a:lnSpc>
              <a:spcPct val="108000"/>
            </a:lnSpc>
          </a:pPr>
          <a:r>
            <a:rPr lang="en-US" sz="1200">
              <a:solidFill>
                <a:sysClr val="windowText" lastClr="000000"/>
              </a:solidFill>
              <a:effectLst/>
              <a:latin typeface="+mn-lt"/>
              <a:ea typeface="+mn-ea"/>
              <a:cs typeface="+mn-cs"/>
            </a:rPr>
            <a:t> b.</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One-time adjustment for High Claims (non-predictive) Column: Enter high-cost claims that are not  predictive of future experience but are not included in HCRP receipts.</a:t>
          </a:r>
        </a:p>
        <a:p>
          <a:pPr marL="365760" lvl="0" indent="-182880">
            <a:lnSpc>
              <a:spcPct val="108000"/>
            </a:lnSpc>
          </a:pPr>
          <a:r>
            <a:rPr lang="en-US" sz="1200">
              <a:solidFill>
                <a:sysClr val="windowText" lastClr="000000"/>
              </a:solidFill>
              <a:effectLst/>
              <a:latin typeface="+mn-lt"/>
              <a:ea typeface="+mn-ea"/>
              <a:cs typeface="+mn-cs"/>
            </a:rPr>
            <a:t> c.</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One-time adjustment for HCRP receipts Column: Enter HCRP receipts from the experience period.</a:t>
          </a:r>
        </a:p>
        <a:p>
          <a:pPr marL="365760" lvl="0" indent="-182880">
            <a:lnSpc>
              <a:spcPct val="108000"/>
            </a:lnSpc>
          </a:pPr>
          <a:r>
            <a:rPr lang="en-US" sz="1200">
              <a:solidFill>
                <a:sysClr val="windowText" lastClr="000000"/>
              </a:solidFill>
              <a:effectLst/>
              <a:latin typeface="+mn-lt"/>
              <a:ea typeface="+mn-ea"/>
              <a:cs typeface="+mn-cs"/>
            </a:rPr>
            <a:t> d.</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Use the Service Area Adjustment to adjust allowed claims for changes in service areas between periods.</a:t>
          </a:r>
        </a:p>
        <a:p>
          <a:pPr marL="365760" lvl="0" indent="-182880">
            <a:lnSpc>
              <a:spcPct val="108000"/>
            </a:lnSpc>
          </a:pPr>
          <a:r>
            <a:rPr lang="en-US" sz="1200">
              <a:solidFill>
                <a:sysClr val="windowText" lastClr="000000"/>
              </a:solidFill>
              <a:effectLst/>
              <a:latin typeface="+mn-lt"/>
              <a:ea typeface="+mn-ea"/>
              <a:cs typeface="+mn-cs"/>
            </a:rPr>
            <a:t> e. Allowable Rating Adjustments Columns: For definitions of these columns, see URR Instructions Section 2.1.3.2, except</a:t>
          </a:r>
          <a:r>
            <a:rPr lang="en-US" sz="1200" baseline="0">
              <a:solidFill>
                <a:sysClr val="windowText" lastClr="000000"/>
              </a:solidFill>
              <a:effectLst/>
              <a:latin typeface="+mn-lt"/>
              <a:ea typeface="+mn-ea"/>
              <a:cs typeface="+mn-cs"/>
            </a:rPr>
            <a:t> t</a:t>
          </a:r>
          <a:r>
            <a:rPr lang="en-US" sz="1200">
              <a:solidFill>
                <a:sysClr val="windowText" lastClr="000000"/>
              </a:solidFill>
              <a:effectLst/>
              <a:latin typeface="+mn-lt"/>
              <a:ea typeface="+mn-ea"/>
              <a:cs typeface="+mn-cs"/>
            </a:rPr>
            <a:t>hat the corresponding change measured in this exhibit is from experience period to experience period (one-year change). Complete the yellow cells in this section of the table. These estimates are used to normalize prior experience periods to the current experience period.</a:t>
          </a:r>
        </a:p>
        <a:p>
          <a:pPr lvl="0"/>
          <a:endParaRPr lang="en-US" sz="1200">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Table 3.2</a:t>
          </a:r>
        </a:p>
        <a:p>
          <a:pPr marL="182880" lvl="0" indent="0">
            <a:lnSpc>
              <a:spcPct val="108000"/>
            </a:lnSpc>
          </a:pPr>
          <a:r>
            <a:rPr lang="en-US" sz="1200">
              <a:solidFill>
                <a:sysClr val="windowText" lastClr="000000"/>
              </a:solidFill>
              <a:effectLst/>
              <a:latin typeface="+mn-lt"/>
              <a:ea typeface="+mn-ea"/>
              <a:cs typeface="+mn-cs"/>
            </a:rPr>
            <a:t>The totals in Table 3.2 must reconcile to reported experience in the carriers final URRT submissions.</a:t>
          </a:r>
        </a:p>
        <a:p>
          <a:pPr lvl="1"/>
          <a:endParaRPr lang="en-US" sz="1200" b="1" u="sng">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Comments</a:t>
          </a:r>
        </a:p>
        <a:p>
          <a:pPr marL="365760" lvl="0" indent="-182880">
            <a:lnSpc>
              <a:spcPct val="108000"/>
            </a:lnSpc>
          </a:pPr>
          <a:r>
            <a:rPr lang="en-US" sz="1200" b="0" u="none">
              <a:solidFill>
                <a:sysClr val="windowText" lastClr="000000"/>
              </a:solidFill>
              <a:effectLst/>
              <a:latin typeface="+mn-lt"/>
              <a:ea typeface="+mn-ea"/>
              <a:cs typeface="+mn-cs"/>
            </a:rPr>
            <a:t>a.</a:t>
          </a:r>
          <a:r>
            <a:rPr lang="en-US" sz="1200" b="0" u="none"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Use the yellow cells in the Comment Section to provide narrative and clarifications.</a:t>
          </a:r>
        </a:p>
        <a:p>
          <a:pPr marL="365760" lvl="0" indent="-182880">
            <a:lnSpc>
              <a:spcPct val="108000"/>
            </a:lnSpc>
          </a:pPr>
          <a:r>
            <a:rPr lang="en-US" sz="1200" b="0">
              <a:solidFill>
                <a:sysClr val="windowText" lastClr="000000"/>
              </a:solidFill>
              <a:effectLst/>
              <a:latin typeface="+mn-lt"/>
              <a:ea typeface="+mn-ea"/>
              <a:cs typeface="+mn-cs"/>
            </a:rPr>
            <a:t>b.</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Describe the methods used select entries in the "One-Time Adjustment for Non-Predictive Claims" column.</a:t>
          </a:r>
        </a:p>
        <a:p>
          <a:pPr marL="365760" lvl="0" indent="-182880">
            <a:lnSpc>
              <a:spcPct val="108000"/>
            </a:lnSpc>
          </a:pPr>
          <a:r>
            <a:rPr lang="en-US" sz="1200" b="0">
              <a:solidFill>
                <a:sysClr val="windowText" lastClr="000000"/>
              </a:solidFill>
              <a:effectLst/>
              <a:latin typeface="+mn-lt"/>
              <a:ea typeface="+mn-ea"/>
              <a:cs typeface="+mn-cs"/>
            </a:rPr>
            <a:t>c.</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Describe the methods used to estimate the impact of Allowable Rating Adjustment entries.</a:t>
          </a:r>
        </a:p>
        <a:p>
          <a:pPr marL="365760" lvl="0" indent="-182880">
            <a:lnSpc>
              <a:spcPct val="108000"/>
            </a:lnSpc>
          </a:pPr>
          <a:r>
            <a:rPr lang="en-US" sz="1200" b="0">
              <a:solidFill>
                <a:sysClr val="windowText" lastClr="000000"/>
              </a:solidFill>
              <a:effectLst/>
              <a:latin typeface="+mn-lt"/>
              <a:ea typeface="+mn-ea"/>
              <a:cs typeface="+mn-cs"/>
            </a:rPr>
            <a:t>d. Identify where you provide support for your proposed prospective trend adjustments for      projecting 2024 experience to 2026.</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21</xdr:col>
      <xdr:colOff>126174</xdr:colOff>
      <xdr:row>8</xdr:row>
      <xdr:rowOff>259771</xdr:rowOff>
    </xdr:from>
    <xdr:to>
      <xdr:col>22</xdr:col>
      <xdr:colOff>0</xdr:colOff>
      <xdr:row>46</xdr:row>
      <xdr:rowOff>34636</xdr:rowOff>
    </xdr:to>
    <xdr:sp macro="" textlink="">
      <xdr:nvSpPr>
        <xdr:cNvPr id="2" name="Rectangle 1">
          <a:extLst>
            <a:ext uri="{FF2B5EF4-FFF2-40B4-BE49-F238E27FC236}">
              <a16:creationId xmlns:a16="http://schemas.microsoft.com/office/drawing/2014/main" id="{8736D7EC-70F0-4989-B88D-B7CA613BFEAB}"/>
            </a:ext>
          </a:extLst>
        </xdr:cNvPr>
        <xdr:cNvSpPr/>
      </xdr:nvSpPr>
      <xdr:spPr>
        <a:xfrm>
          <a:off x="26824749" y="2155246"/>
          <a:ext cx="6560376" cy="8575965"/>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4 Instructions</a:t>
          </a:r>
        </a:p>
        <a:p>
          <a:r>
            <a:rPr lang="en-US" sz="1400" b="1" u="sng">
              <a:solidFill>
                <a:schemeClr val="tx2"/>
              </a:solidFill>
              <a:effectLst/>
              <a:latin typeface="+mn-lt"/>
              <a:ea typeface="+mn-ea"/>
              <a:cs typeface="+mn-cs"/>
            </a:rPr>
            <a:t>Purpose</a:t>
          </a:r>
        </a:p>
        <a:p>
          <a:pPr marL="182880">
            <a:lnSpc>
              <a:spcPct val="108000"/>
            </a:lnSpc>
          </a:pPr>
          <a:r>
            <a:rPr lang="en-US" sz="1200">
              <a:solidFill>
                <a:sysClr val="windowText" lastClr="000000"/>
              </a:solidFill>
              <a:effectLst/>
              <a:latin typeface="+mn-lt"/>
              <a:ea typeface="+mn-ea"/>
              <a:cs typeface="+mn-cs"/>
            </a:rPr>
            <a:t>The purpose of this template is to provide Washington State experience trend that is normalized for allowable rating factors in the URRT. This information is needed for support of retrospective trend and as a starting point for consideration of prospective trend adjustments.							</a:t>
          </a:r>
        </a:p>
        <a:p>
          <a:pPr lvl="0"/>
          <a:r>
            <a:rPr lang="en-US" sz="1400" b="1" u="sng">
              <a:solidFill>
                <a:schemeClr val="tx2"/>
              </a:solidFill>
              <a:effectLst/>
              <a:latin typeface="+mn-lt"/>
              <a:ea typeface="+mn-ea"/>
              <a:cs typeface="+mn-cs"/>
            </a:rPr>
            <a:t>Table 3.1</a:t>
          </a:r>
        </a:p>
        <a:p>
          <a:pPr marL="365760" lvl="0" indent="-182880">
            <a:lnSpc>
              <a:spcPct val="108000"/>
            </a:lnSpc>
          </a:pPr>
          <a:r>
            <a:rPr lang="en-US" sz="1200" b="0" u="none">
              <a:solidFill>
                <a:sysClr val="windowText" lastClr="000000"/>
              </a:solidFill>
              <a:effectLst/>
              <a:latin typeface="+mn-lt"/>
              <a:ea typeface="+mn-ea"/>
              <a:cs typeface="+mn-cs"/>
            </a:rPr>
            <a:t> a.</a:t>
          </a:r>
          <a:r>
            <a:rPr lang="en-US" sz="1200" b="0" u="none"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Complete the table below using monthly experience, the cells formatted yellow are intended for carrier inputs.</a:t>
          </a:r>
        </a:p>
        <a:p>
          <a:pPr marL="365760" lvl="0" indent="-182880">
            <a:lnSpc>
              <a:spcPct val="108000"/>
            </a:lnSpc>
          </a:pPr>
          <a:r>
            <a:rPr lang="en-US" sz="1200">
              <a:solidFill>
                <a:sysClr val="windowText" lastClr="000000"/>
              </a:solidFill>
              <a:effectLst/>
              <a:latin typeface="+mn-lt"/>
              <a:ea typeface="+mn-ea"/>
              <a:cs typeface="+mn-cs"/>
            </a:rPr>
            <a:t> b.</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One-time adjustment for High Claims (non-predictive) Column: Enter high-cost claims that are not  predictive of future experience but are not included in HCRP receipts.</a:t>
          </a:r>
        </a:p>
        <a:p>
          <a:pPr marL="365760" lvl="0" indent="-182880">
            <a:lnSpc>
              <a:spcPct val="108000"/>
            </a:lnSpc>
          </a:pPr>
          <a:r>
            <a:rPr lang="en-US" sz="1200">
              <a:solidFill>
                <a:sysClr val="windowText" lastClr="000000"/>
              </a:solidFill>
              <a:effectLst/>
              <a:latin typeface="+mn-lt"/>
              <a:ea typeface="+mn-ea"/>
              <a:cs typeface="+mn-cs"/>
            </a:rPr>
            <a:t> c.</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One-time adjustment for HCRP receipts Column: Enter HCRP receipts from the experience period.</a:t>
          </a:r>
        </a:p>
        <a:p>
          <a:pPr marL="365760" lvl="0" indent="-182880">
            <a:lnSpc>
              <a:spcPct val="108000"/>
            </a:lnSpc>
          </a:pPr>
          <a:r>
            <a:rPr lang="en-US" sz="1200">
              <a:solidFill>
                <a:sysClr val="windowText" lastClr="000000"/>
              </a:solidFill>
              <a:effectLst/>
              <a:latin typeface="+mn-lt"/>
              <a:ea typeface="+mn-ea"/>
              <a:cs typeface="+mn-cs"/>
            </a:rPr>
            <a:t> d.</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Use the Service Area Adjustment to adjust allowed claims for changes in service areas between periods.</a:t>
          </a:r>
        </a:p>
        <a:p>
          <a:pPr marL="365760" lvl="0" indent="-182880">
            <a:lnSpc>
              <a:spcPct val="108000"/>
            </a:lnSpc>
          </a:pPr>
          <a:r>
            <a:rPr lang="en-US" sz="1200">
              <a:solidFill>
                <a:sysClr val="windowText" lastClr="000000"/>
              </a:solidFill>
              <a:effectLst/>
              <a:latin typeface="+mn-lt"/>
              <a:ea typeface="+mn-ea"/>
              <a:cs typeface="+mn-cs"/>
            </a:rPr>
            <a:t> e. Allowable Rating Adjustments Columns: For definitions of these columns, see URR Instructions Section 2.1.3.2, except</a:t>
          </a:r>
          <a:r>
            <a:rPr lang="en-US" sz="1200" baseline="0">
              <a:solidFill>
                <a:sysClr val="windowText" lastClr="000000"/>
              </a:solidFill>
              <a:effectLst/>
              <a:latin typeface="+mn-lt"/>
              <a:ea typeface="+mn-ea"/>
              <a:cs typeface="+mn-cs"/>
            </a:rPr>
            <a:t> t</a:t>
          </a:r>
          <a:r>
            <a:rPr lang="en-US" sz="1200">
              <a:solidFill>
                <a:sysClr val="windowText" lastClr="000000"/>
              </a:solidFill>
              <a:effectLst/>
              <a:latin typeface="+mn-lt"/>
              <a:ea typeface="+mn-ea"/>
              <a:cs typeface="+mn-cs"/>
            </a:rPr>
            <a:t>hat the corresponding change measured in this exhibit is from experience period to experience period (one-year change). Complete the yellow cells in this section of the table. These estimates are used to normalize prior experience periods to the current experience period.</a:t>
          </a:r>
        </a:p>
        <a:p>
          <a:pPr lvl="0"/>
          <a:endParaRPr lang="en-US" sz="1200">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Table 3.2</a:t>
          </a:r>
        </a:p>
        <a:p>
          <a:pPr marL="182880" lvl="0" indent="0">
            <a:lnSpc>
              <a:spcPct val="108000"/>
            </a:lnSpc>
          </a:pPr>
          <a:r>
            <a:rPr lang="en-US" sz="1200">
              <a:solidFill>
                <a:sysClr val="windowText" lastClr="000000"/>
              </a:solidFill>
              <a:effectLst/>
              <a:latin typeface="+mn-lt"/>
              <a:ea typeface="+mn-ea"/>
              <a:cs typeface="+mn-cs"/>
            </a:rPr>
            <a:t>The totals in Table 3.2 must reconcile to reported experience in the carriers final URRT submissions.</a:t>
          </a:r>
        </a:p>
        <a:p>
          <a:pPr lvl="1"/>
          <a:endParaRPr lang="en-US" sz="1200" b="1" u="sng">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Comments</a:t>
          </a:r>
        </a:p>
        <a:p>
          <a:pPr marL="365760" lvl="0" indent="-182880">
            <a:lnSpc>
              <a:spcPct val="108000"/>
            </a:lnSpc>
          </a:pPr>
          <a:r>
            <a:rPr lang="en-US" sz="1200" b="0" u="none">
              <a:solidFill>
                <a:sysClr val="windowText" lastClr="000000"/>
              </a:solidFill>
              <a:effectLst/>
              <a:latin typeface="+mn-lt"/>
              <a:ea typeface="+mn-ea"/>
              <a:cs typeface="+mn-cs"/>
            </a:rPr>
            <a:t>a.</a:t>
          </a:r>
          <a:r>
            <a:rPr lang="en-US" sz="1200" b="0" u="none"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Use the yellow cells in the Comment Section to provide narrative and clarifications.</a:t>
          </a:r>
        </a:p>
        <a:p>
          <a:pPr marL="365760" lvl="0" indent="-182880">
            <a:lnSpc>
              <a:spcPct val="108000"/>
            </a:lnSpc>
          </a:pPr>
          <a:r>
            <a:rPr lang="en-US" sz="1200" b="0">
              <a:solidFill>
                <a:sysClr val="windowText" lastClr="000000"/>
              </a:solidFill>
              <a:effectLst/>
              <a:latin typeface="+mn-lt"/>
              <a:ea typeface="+mn-ea"/>
              <a:cs typeface="+mn-cs"/>
            </a:rPr>
            <a:t>b.</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Describe the methods used select entries in the "One-Time Adjustment for Non-Predictive Claims" column.</a:t>
          </a:r>
        </a:p>
        <a:p>
          <a:pPr marL="365760" lvl="0" indent="-182880">
            <a:lnSpc>
              <a:spcPct val="108000"/>
            </a:lnSpc>
          </a:pPr>
          <a:r>
            <a:rPr lang="en-US" sz="1200" b="0">
              <a:solidFill>
                <a:sysClr val="windowText" lastClr="000000"/>
              </a:solidFill>
              <a:effectLst/>
              <a:latin typeface="+mn-lt"/>
              <a:ea typeface="+mn-ea"/>
              <a:cs typeface="+mn-cs"/>
            </a:rPr>
            <a:t>c.</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Describe the methods used to estimate the impact of Allowable Rating Adjustment entries.</a:t>
          </a:r>
        </a:p>
        <a:p>
          <a:pPr marL="365760" lvl="0" indent="-182880">
            <a:lnSpc>
              <a:spcPct val="108000"/>
            </a:lnSpc>
          </a:pPr>
          <a:r>
            <a:rPr lang="en-US" sz="1200" b="0">
              <a:solidFill>
                <a:sysClr val="windowText" lastClr="000000"/>
              </a:solidFill>
              <a:effectLst/>
              <a:latin typeface="+mn-lt"/>
              <a:ea typeface="+mn-ea"/>
              <a:cs typeface="+mn-cs"/>
            </a:rPr>
            <a:t>d. Identify where you provide support for your proposed prospective trend adjustments for      projecting 2024 experience to 2026.</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7415893</xdr:colOff>
      <xdr:row>44</xdr:row>
      <xdr:rowOff>95250</xdr:rowOff>
    </xdr:to>
    <xdr:sp macro="" textlink="">
      <xdr:nvSpPr>
        <xdr:cNvPr id="3" name="Rectangle 1">
          <a:extLst>
            <a:ext uri="{FF2B5EF4-FFF2-40B4-BE49-F238E27FC236}">
              <a16:creationId xmlns:a16="http://schemas.microsoft.com/office/drawing/2014/main" id="{23F74051-6C9B-42FD-82A1-C94184570396}"/>
            </a:ext>
          </a:extLst>
        </xdr:cNvPr>
        <xdr:cNvSpPr/>
      </xdr:nvSpPr>
      <xdr:spPr>
        <a:xfrm>
          <a:off x="8232321" y="530679"/>
          <a:ext cx="7415893" cy="9334500"/>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5 Instructions</a:t>
          </a:r>
        </a:p>
        <a:p>
          <a:pPr algn="l">
            <a:lnSpc>
              <a:spcPct val="108000"/>
            </a:lnSpc>
          </a:pPr>
          <a:r>
            <a:rPr lang="en-US" sz="1200" b="0" i="0" u="none" strike="noStrike" kern="1200">
              <a:solidFill>
                <a:sysClr val="windowText" lastClr="000000"/>
              </a:solidFill>
              <a:effectLst/>
              <a:latin typeface="+mn-lt"/>
              <a:ea typeface="+mn-ea"/>
              <a:cs typeface="+mn-cs"/>
            </a:rPr>
            <a:t>Input</a:t>
          </a:r>
          <a:r>
            <a:rPr lang="en-US" sz="1200" i="0">
              <a:solidFill>
                <a:sysClr val="windowText" lastClr="000000"/>
              </a:solidFill>
              <a:effectLst/>
              <a:latin typeface="+mn-lt"/>
              <a:ea typeface="+mn-ea"/>
              <a:cs typeface="+mn-cs"/>
            </a:rPr>
            <a:t> the requested data in the yellow cells, based on actual experience or projections, as appropriate, for this Washington State market</a:t>
          </a:r>
          <a:r>
            <a:rPr lang="en-US" sz="1200" i="0" baseline="0">
              <a:solidFill>
                <a:sysClr val="windowText" lastClr="000000"/>
              </a:solidFill>
              <a:effectLst/>
              <a:latin typeface="+mn-lt"/>
              <a:ea typeface="+mn-ea"/>
              <a:cs typeface="+mn-cs"/>
            </a:rPr>
            <a:t>. </a:t>
          </a:r>
        </a:p>
        <a:p>
          <a:pPr algn="l">
            <a:lnSpc>
              <a:spcPct val="108000"/>
            </a:lnSpc>
          </a:pPr>
          <a:endParaRPr lang="en-US" sz="1200" i="0" baseline="0">
            <a:solidFill>
              <a:sysClr val="windowText" lastClr="000000"/>
            </a:solidFill>
            <a:effectLst/>
            <a:latin typeface="+mn-lt"/>
            <a:ea typeface="+mn-ea"/>
            <a:cs typeface="+mn-cs"/>
          </a:endParaRPr>
        </a:p>
        <a:p>
          <a:pPr algn="l">
            <a:lnSpc>
              <a:spcPct val="108000"/>
            </a:lnSpc>
          </a:pPr>
          <a:r>
            <a:rPr lang="en-US" sz="1400" b="1" i="0" u="sng" baseline="0">
              <a:solidFill>
                <a:schemeClr val="tx2"/>
              </a:solidFill>
              <a:effectLst/>
              <a:latin typeface="+mn-lt"/>
              <a:ea typeface="+mn-ea"/>
              <a:cs typeface="+mn-cs"/>
            </a:rPr>
            <a:t>Table 1</a:t>
          </a:r>
        </a:p>
        <a:p>
          <a:pPr marL="182880" algn="l">
            <a:lnSpc>
              <a:spcPct val="108000"/>
            </a:lnSpc>
          </a:pPr>
          <a:r>
            <a:rPr lang="en-US" sz="1200" b="1" i="0" u="none" baseline="0">
              <a:solidFill>
                <a:sysClr val="windowText" lastClr="000000"/>
              </a:solidFill>
              <a:effectLst/>
              <a:latin typeface="+mn-lt"/>
              <a:ea typeface="+mn-ea"/>
              <a:cs typeface="+mn-cs"/>
            </a:rPr>
            <a:t>Projected (i.e., Expected) Data</a:t>
          </a:r>
        </a:p>
        <a:p>
          <a:pPr marL="182880" algn="l">
            <a:lnSpc>
              <a:spcPct val="108000"/>
            </a:lnSpc>
          </a:pPr>
          <a:r>
            <a:rPr lang="en-US" sz="1200" i="0" baseline="0">
              <a:solidFill>
                <a:sysClr val="windowText" lastClr="000000"/>
              </a:solidFill>
              <a:effectLst/>
              <a:latin typeface="+mn-lt"/>
              <a:ea typeface="+mn-ea"/>
              <a:cs typeface="+mn-cs"/>
            </a:rPr>
            <a:t>• Each projected amount should relate to rate filing projections.</a:t>
          </a:r>
        </a:p>
        <a:p>
          <a:pPr marL="182880" algn="l">
            <a:lnSpc>
              <a:spcPct val="108000"/>
            </a:lnSpc>
          </a:pPr>
          <a:r>
            <a:rPr lang="en-US" sz="1200" i="0" baseline="0">
              <a:solidFill>
                <a:sysClr val="windowText" lastClr="000000"/>
              </a:solidFill>
              <a:effectLst/>
              <a:latin typeface="+mn-lt"/>
              <a:ea typeface="+mn-ea"/>
              <a:cs typeface="+mn-cs"/>
              <a:sym typeface="Wingdings" panose="05000000000000000000" pitchFamily="2" charset="2"/>
            </a:rPr>
            <a:t> </a:t>
          </a:r>
          <a:r>
            <a:rPr lang="en-US" sz="1200" i="0" baseline="0">
              <a:solidFill>
                <a:sysClr val="windowText" lastClr="000000"/>
              </a:solidFill>
              <a:effectLst/>
              <a:latin typeface="+mn-lt"/>
              <a:ea typeface="+mn-ea"/>
              <a:cs typeface="+mn-cs"/>
            </a:rPr>
            <a:t>Note that if a PROJECTED column reflects "2024 to 2026," enter URRT Worksheet 1 factors from the plan year 2026 rate filing that was based on 2024 experience.</a:t>
          </a:r>
        </a:p>
        <a:p>
          <a:pPr marL="182880" algn="l">
            <a:lnSpc>
              <a:spcPct val="108000"/>
            </a:lnSpc>
          </a:pPr>
          <a:endParaRPr lang="en-US" sz="600" b="1" i="0" u="sng" baseline="0">
            <a:solidFill>
              <a:sysClr val="windowText" lastClr="000000"/>
            </a:solidFill>
            <a:effectLst/>
            <a:latin typeface="+mn-lt"/>
            <a:ea typeface="+mn-ea"/>
            <a:cs typeface="+mn-cs"/>
          </a:endParaRPr>
        </a:p>
        <a:p>
          <a:pPr marL="182880" algn="l">
            <a:lnSpc>
              <a:spcPct val="108000"/>
            </a:lnSpc>
          </a:pPr>
          <a:r>
            <a:rPr lang="en-US" sz="1200" b="1" i="0" u="none" baseline="0">
              <a:solidFill>
                <a:sysClr val="windowText" lastClr="000000"/>
              </a:solidFill>
              <a:effectLst/>
              <a:latin typeface="+mn-lt"/>
              <a:ea typeface="+mn-ea"/>
              <a:cs typeface="+mn-cs"/>
            </a:rPr>
            <a:t>Actual Experience Data</a:t>
          </a:r>
        </a:p>
        <a:p>
          <a:pPr marL="182880" algn="l">
            <a:lnSpc>
              <a:spcPct val="108000"/>
            </a:lnSpc>
          </a:pPr>
          <a:r>
            <a:rPr lang="en-US" sz="1200" i="0" baseline="0">
              <a:solidFill>
                <a:sysClr val="windowText" lastClr="000000"/>
              </a:solidFill>
              <a:effectLst/>
              <a:latin typeface="+mn-lt"/>
              <a:ea typeface="+mn-ea"/>
              <a:cs typeface="+mn-cs"/>
            </a:rPr>
            <a:t>• Actual experience should be reported on a basis comparable to projected results. When raw data is available and appropriate, it should be used. Only when observed actual amounts cannot be used, recast estimates may be used instead; for each such recast estimate, derivation, and/or allocation, please explain the methodology in the Comments' section at the bottom of this worksheet.</a:t>
          </a:r>
        </a:p>
        <a:p>
          <a:pPr marL="182880" algn="l">
            <a:lnSpc>
              <a:spcPct val="108000"/>
            </a:lnSpc>
          </a:pPr>
          <a:r>
            <a:rPr lang="en-US" sz="1200" i="0" baseline="0">
              <a:solidFill>
                <a:sysClr val="windowText" lastClr="000000"/>
              </a:solidFill>
              <a:effectLst/>
              <a:latin typeface="+mn-lt"/>
              <a:ea typeface="+mn-ea"/>
              <a:cs typeface="+mn-cs"/>
            </a:rPr>
            <a:t>• If the actual experience reflects differences in underlying rating variables or data segments, normalize the experience where possible to align with the assumptions in the rate filing.</a:t>
          </a:r>
        </a:p>
        <a:p>
          <a:pPr algn="l">
            <a:lnSpc>
              <a:spcPct val="108000"/>
            </a:lnSpc>
          </a:pPr>
          <a:endParaRPr lang="en-US" sz="1200" b="0" i="0" kern="1200" baseline="0">
            <a:solidFill>
              <a:sysClr val="windowText" lastClr="000000"/>
            </a:solidFill>
            <a:effectLst/>
            <a:latin typeface="+mn-lt"/>
            <a:ea typeface="+mn-ea"/>
            <a:cs typeface="+mn-cs"/>
          </a:endParaRPr>
        </a:p>
        <a:p>
          <a:pPr algn="l">
            <a:lnSpc>
              <a:spcPct val="108000"/>
            </a:lnSpc>
          </a:pPr>
          <a:r>
            <a:rPr lang="en-US" sz="1400" b="1" i="0" u="sng" kern="1200" baseline="0">
              <a:solidFill>
                <a:schemeClr val="tx2"/>
              </a:solidFill>
              <a:effectLst/>
              <a:latin typeface="+mn-lt"/>
              <a:ea typeface="+mn-ea"/>
              <a:cs typeface="+mn-cs"/>
            </a:rPr>
            <a:t>Comments</a:t>
          </a:r>
        </a:p>
        <a:p>
          <a:pPr marL="182880" algn="l">
            <a:lnSpc>
              <a:spcPct val="108000"/>
            </a:lnSpc>
          </a:pPr>
          <a:r>
            <a:rPr lang="en-US" sz="1100">
              <a:solidFill>
                <a:sysClr val="windowText" lastClr="000000"/>
              </a:solidFill>
              <a:effectLst/>
              <a:latin typeface="+mn-lt"/>
              <a:ea typeface="+mn-ea"/>
              <a:cs typeface="+mn-cs"/>
            </a:rPr>
            <a:t>If you observe any significant discrepancy between actual and expected results, provide</a:t>
          </a:r>
          <a:r>
            <a:rPr lang="en-US" sz="1100" baseline="0">
              <a:solidFill>
                <a:sysClr val="windowText" lastClr="000000"/>
              </a:solidFill>
              <a:effectLst/>
              <a:latin typeface="+mn-lt"/>
              <a:ea typeface="+mn-ea"/>
              <a:cs typeface="+mn-cs"/>
            </a:rPr>
            <a:t> the following information in the Comments section. Otherwise, identify the external document and section that includes the following information.</a:t>
          </a:r>
          <a:endParaRPr lang="en-US" sz="1200" b="1">
            <a:solidFill>
              <a:sysClr val="windowText" lastClr="000000"/>
            </a:solidFill>
          </a:endParaRPr>
        </a:p>
        <a:p>
          <a:pPr marL="182880" algn="l">
            <a:lnSpc>
              <a:spcPct val="108000"/>
            </a:lnSpc>
          </a:pPr>
          <a:endParaRPr lang="en-US" sz="600" b="1">
            <a:solidFill>
              <a:sysClr val="windowText" lastClr="000000"/>
            </a:solidFill>
          </a:endParaRPr>
        </a:p>
        <a:p>
          <a:pPr marL="182880">
            <a:lnSpc>
              <a:spcPct val="108000"/>
            </a:lnSpc>
          </a:pPr>
          <a:r>
            <a:rPr lang="en-US" sz="1200" b="1">
              <a:solidFill>
                <a:sysClr val="windowText" lastClr="000000"/>
              </a:solidFill>
            </a:rPr>
            <a:t>Identify Material Differences</a:t>
          </a:r>
          <a:endParaRPr lang="en-US" sz="1200">
            <a:solidFill>
              <a:sysClr val="windowText" lastClr="000000"/>
            </a:solidFill>
          </a:endParaRPr>
        </a:p>
        <a:p>
          <a:pPr marL="182880">
            <a:lnSpc>
              <a:spcPct val="108000"/>
            </a:lnSpc>
          </a:pPr>
          <a:r>
            <a:rPr lang="en-US" sz="1200">
              <a:solidFill>
                <a:sysClr val="windowText" lastClr="000000"/>
              </a:solidFill>
            </a:rPr>
            <a:t>• Clearly describe the magnitude and nature of differences.</a:t>
          </a:r>
        </a:p>
        <a:p>
          <a:pPr marL="182880">
            <a:lnSpc>
              <a:spcPct val="108000"/>
            </a:lnSpc>
          </a:pPr>
          <a:r>
            <a:rPr lang="en-US" sz="1200">
              <a:solidFill>
                <a:sysClr val="windowText" lastClr="000000"/>
              </a:solidFill>
            </a:rPr>
            <a:t>• Indicate whether differences are isolated or part of a broader trend.</a:t>
          </a:r>
        </a:p>
        <a:p>
          <a:pPr marL="182880">
            <a:lnSpc>
              <a:spcPct val="108000"/>
            </a:lnSpc>
          </a:pPr>
          <a:endParaRPr lang="en-US" sz="600">
            <a:solidFill>
              <a:sysClr val="windowText" lastClr="000000"/>
            </a:solidFill>
          </a:endParaRPr>
        </a:p>
        <a:p>
          <a:pPr marL="182880">
            <a:lnSpc>
              <a:spcPct val="108000"/>
            </a:lnSpc>
          </a:pPr>
          <a:r>
            <a:rPr lang="en-US" sz="1200" b="1">
              <a:solidFill>
                <a:sysClr val="windowText" lastClr="000000"/>
              </a:solidFill>
            </a:rPr>
            <a:t>Root Cause Analysis</a:t>
          </a:r>
          <a:endParaRPr lang="en-US" sz="1200">
            <a:solidFill>
              <a:sysClr val="windowText" lastClr="000000"/>
            </a:solidFill>
          </a:endParaRPr>
        </a:p>
        <a:p>
          <a:pPr marL="182880">
            <a:lnSpc>
              <a:spcPct val="108000"/>
            </a:lnSpc>
          </a:pPr>
          <a:r>
            <a:rPr lang="en-US" sz="1200">
              <a:solidFill>
                <a:sysClr val="windowText" lastClr="000000"/>
              </a:solidFill>
            </a:rPr>
            <a:t>• Investigate the key drivers of significant differences in actual-to-expected (A:E) results.</a:t>
          </a:r>
        </a:p>
        <a:p>
          <a:pPr marL="182880">
            <a:lnSpc>
              <a:spcPct val="108000"/>
            </a:lnSpc>
          </a:pPr>
          <a:r>
            <a:rPr lang="en-US" sz="1200">
              <a:solidFill>
                <a:sysClr val="windowText" lastClr="000000"/>
              </a:solidFill>
            </a:rPr>
            <a:t>• Distinguish between internal model issues and external market or environmental influences.</a:t>
          </a:r>
        </a:p>
        <a:p>
          <a:pPr marL="182880">
            <a:lnSpc>
              <a:spcPct val="108000"/>
            </a:lnSpc>
          </a:pPr>
          <a:endParaRPr lang="en-US" sz="600">
            <a:solidFill>
              <a:sysClr val="windowText" lastClr="000000"/>
            </a:solidFill>
          </a:endParaRPr>
        </a:p>
        <a:p>
          <a:pPr marL="182880">
            <a:lnSpc>
              <a:spcPct val="108000"/>
            </a:lnSpc>
          </a:pPr>
          <a:r>
            <a:rPr lang="en-US" sz="1200" b="1">
              <a:solidFill>
                <a:sysClr val="windowText" lastClr="000000"/>
              </a:solidFill>
            </a:rPr>
            <a:t>Historical Context &amp; Trend Analysis</a:t>
          </a:r>
          <a:endParaRPr lang="en-US" sz="1200">
            <a:solidFill>
              <a:sysClr val="windowText" lastClr="000000"/>
            </a:solidFill>
          </a:endParaRPr>
        </a:p>
        <a:p>
          <a:pPr marL="182880">
            <a:lnSpc>
              <a:spcPct val="108000"/>
            </a:lnSpc>
          </a:pPr>
          <a:r>
            <a:rPr lang="en-US" sz="1200">
              <a:solidFill>
                <a:sysClr val="windowText" lastClr="000000"/>
              </a:solidFill>
            </a:rPr>
            <a:t>• Compare current A:E results with historical outcomes to determine if the variance is a one-time anomaly or a recurring pattern.</a:t>
          </a:r>
        </a:p>
        <a:p>
          <a:pPr marL="182880">
            <a:lnSpc>
              <a:spcPct val="108000"/>
            </a:lnSpc>
          </a:pPr>
          <a:r>
            <a:rPr lang="en-US" sz="1200">
              <a:solidFill>
                <a:sysClr val="windowText" lastClr="000000"/>
              </a:solidFill>
            </a:rPr>
            <a:t>• Note any changes in underlying assumptions or external conditions since previous evaluations.</a:t>
          </a:r>
        </a:p>
        <a:p>
          <a:pPr marL="182880">
            <a:lnSpc>
              <a:spcPct val="108000"/>
            </a:lnSpc>
          </a:pPr>
          <a:endParaRPr lang="en-US" sz="600">
            <a:solidFill>
              <a:sysClr val="windowText" lastClr="000000"/>
            </a:solidFill>
          </a:endParaRPr>
        </a:p>
        <a:p>
          <a:pPr marL="182880">
            <a:lnSpc>
              <a:spcPct val="108000"/>
            </a:lnSpc>
          </a:pPr>
          <a:r>
            <a:rPr lang="en-US" sz="1200" b="1">
              <a:solidFill>
                <a:sysClr val="windowText" lastClr="000000"/>
              </a:solidFill>
            </a:rPr>
            <a:t>Describe Model Deficiencies</a:t>
          </a:r>
          <a:endParaRPr lang="en-US" sz="1200">
            <a:solidFill>
              <a:sysClr val="windowText" lastClr="000000"/>
            </a:solidFill>
          </a:endParaRPr>
        </a:p>
        <a:p>
          <a:pPr marL="182880">
            <a:lnSpc>
              <a:spcPct val="108000"/>
            </a:lnSpc>
          </a:pPr>
          <a:r>
            <a:rPr lang="en-US" sz="1200">
              <a:solidFill>
                <a:sysClr val="windowText" lastClr="000000"/>
              </a:solidFill>
            </a:rPr>
            <a:t>• For each material difference that indicates a deficiency, explain the identified issue.</a:t>
          </a:r>
        </a:p>
        <a:p>
          <a:pPr marL="182880">
            <a:lnSpc>
              <a:spcPct val="108000"/>
            </a:lnSpc>
          </a:pPr>
          <a:r>
            <a:rPr lang="en-US" sz="1200">
              <a:solidFill>
                <a:sysClr val="windowText" lastClr="000000"/>
              </a:solidFill>
            </a:rPr>
            <a:t>• Summarize the root causes and contributing factors in clear, concise language.</a:t>
          </a:r>
        </a:p>
        <a:p>
          <a:pPr marL="182880">
            <a:lnSpc>
              <a:spcPct val="108000"/>
            </a:lnSpc>
          </a:pPr>
          <a:endParaRPr lang="en-US" sz="600">
            <a:solidFill>
              <a:sysClr val="windowText" lastClr="000000"/>
            </a:solidFill>
          </a:endParaRPr>
        </a:p>
        <a:p>
          <a:pPr marL="182880">
            <a:lnSpc>
              <a:spcPct val="108000"/>
            </a:lnSpc>
          </a:pPr>
          <a:r>
            <a:rPr lang="en-US" sz="1200" b="1">
              <a:solidFill>
                <a:sysClr val="windowText" lastClr="000000"/>
              </a:solidFill>
            </a:rPr>
            <a:t>Document Model Updates</a:t>
          </a:r>
          <a:endParaRPr lang="en-US" sz="1200">
            <a:solidFill>
              <a:sysClr val="windowText" lastClr="000000"/>
            </a:solidFill>
          </a:endParaRPr>
        </a:p>
        <a:p>
          <a:pPr marL="182880">
            <a:lnSpc>
              <a:spcPct val="108000"/>
            </a:lnSpc>
          </a:pPr>
          <a:r>
            <a:rPr lang="en-US" sz="1200">
              <a:solidFill>
                <a:sysClr val="windowText" lastClr="000000"/>
              </a:solidFill>
            </a:rPr>
            <a:t>• Specify how you have updated or plan to update rating models to address each identified issue.</a:t>
          </a:r>
        </a:p>
        <a:p>
          <a:pPr marL="182880">
            <a:lnSpc>
              <a:spcPct val="108000"/>
            </a:lnSpc>
          </a:pPr>
          <a:r>
            <a:rPr lang="en-US" sz="1200">
              <a:solidFill>
                <a:sysClr val="windowText" lastClr="000000"/>
              </a:solidFill>
            </a:rPr>
            <a:t>• Outline any revised assumptions, data sources, or methodologies.</a:t>
          </a:r>
        </a:p>
        <a:p>
          <a:pPr marL="182880">
            <a:lnSpc>
              <a:spcPct val="108000"/>
            </a:lnSpc>
          </a:pPr>
          <a:endParaRPr lang="en-US" sz="600" b="1">
            <a:solidFill>
              <a:sysClr val="windowText" lastClr="000000"/>
            </a:solidFill>
          </a:endParaRPr>
        </a:p>
        <a:p>
          <a:pPr marL="182880">
            <a:lnSpc>
              <a:spcPct val="108000"/>
            </a:lnSpc>
          </a:pPr>
          <a:r>
            <a:rPr lang="en-US" sz="1200" b="1">
              <a:solidFill>
                <a:sysClr val="windowText" lastClr="000000"/>
              </a:solidFill>
            </a:rPr>
            <a:t>Expected Impact &amp; Action Plan</a:t>
          </a:r>
          <a:endParaRPr lang="en-US" sz="1200">
            <a:solidFill>
              <a:sysClr val="windowText" lastClr="000000"/>
            </a:solidFill>
          </a:endParaRPr>
        </a:p>
        <a:p>
          <a:pPr marL="182880">
            <a:lnSpc>
              <a:spcPct val="108000"/>
            </a:lnSpc>
          </a:pPr>
          <a:r>
            <a:rPr lang="en-US" sz="1200">
              <a:solidFill>
                <a:sysClr val="windowText" lastClr="000000"/>
              </a:solidFill>
            </a:rPr>
            <a:t>• Provide a qualitative and/or quantitative estimate of how each proposed change is expected to improve the A:E alignment.</a:t>
          </a:r>
        </a:p>
        <a:p>
          <a:pPr marL="182880">
            <a:lnSpc>
              <a:spcPct val="108000"/>
            </a:lnSpc>
          </a:pPr>
          <a:r>
            <a:rPr lang="en-US" sz="1200">
              <a:solidFill>
                <a:sysClr val="windowText" lastClr="000000"/>
              </a:solidFill>
            </a:rPr>
            <a:t>• Include timelines for implementing changes and for re-evaluating the model’s performance post-implementation.</a:t>
          </a:r>
        </a:p>
        <a:p>
          <a:pPr algn="l">
            <a:lnSpc>
              <a:spcPct val="108000"/>
            </a:lnSpc>
          </a:pPr>
          <a:endParaRPr lang="en-US" sz="1200" b="0" i="0" kern="1200" baseline="0">
            <a:solidFill>
              <a:sysClr val="windowText" lastClr="000000"/>
            </a:solidFill>
            <a:effectLst/>
            <a:latin typeface="+mn-lt"/>
            <a:ea typeface="+mn-ea"/>
            <a:cs typeface="+mn-cs"/>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12</xdr:col>
      <xdr:colOff>122465</xdr:colOff>
      <xdr:row>7</xdr:row>
      <xdr:rowOff>68036</xdr:rowOff>
    </xdr:from>
    <xdr:to>
      <xdr:col>13</xdr:col>
      <xdr:colOff>7878536</xdr:colOff>
      <xdr:row>25</xdr:row>
      <xdr:rowOff>27214</xdr:rowOff>
    </xdr:to>
    <xdr:sp macro="" textlink="">
      <xdr:nvSpPr>
        <xdr:cNvPr id="2" name="Rectangle 1">
          <a:extLst>
            <a:ext uri="{FF2B5EF4-FFF2-40B4-BE49-F238E27FC236}">
              <a16:creationId xmlns:a16="http://schemas.microsoft.com/office/drawing/2014/main" id="{10BF1B3A-01DF-45A0-BDBD-15DFF6BD22B1}"/>
            </a:ext>
          </a:extLst>
        </xdr:cNvPr>
        <xdr:cNvSpPr/>
      </xdr:nvSpPr>
      <xdr:spPr>
        <a:xfrm>
          <a:off x="19431001" y="1768929"/>
          <a:ext cx="8014606" cy="4531178"/>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6 Instructions</a:t>
          </a:r>
        </a:p>
        <a:p>
          <a:r>
            <a:rPr lang="en-US" sz="1400" b="1" u="sng">
              <a:solidFill>
                <a:schemeClr val="tx2"/>
              </a:solidFill>
              <a:effectLst/>
              <a:latin typeface="+mn-lt"/>
              <a:ea typeface="+mn-ea"/>
              <a:cs typeface="+mn-cs"/>
            </a:rPr>
            <a:t>Purpose</a:t>
          </a:r>
        </a:p>
        <a:p>
          <a:pPr marL="182880">
            <a:lnSpc>
              <a:spcPct val="108000"/>
            </a:lnSpc>
          </a:pPr>
          <a:r>
            <a:rPr lang="en-US" sz="1200">
              <a:solidFill>
                <a:sysClr val="windowText" lastClr="000000"/>
              </a:solidFill>
              <a:effectLst/>
              <a:latin typeface="+mn-lt"/>
              <a:ea typeface="+mn-ea"/>
              <a:cs typeface="+mn-cs"/>
            </a:rPr>
            <a:t>The purpose of this template is to collect information about</a:t>
          </a:r>
          <a:r>
            <a:rPr lang="en-US" sz="1200" baseline="0">
              <a:solidFill>
                <a:sysClr val="windowText" lastClr="000000"/>
              </a:solidFill>
              <a:effectLst/>
              <a:latin typeface="+mn-lt"/>
              <a:ea typeface="+mn-ea"/>
              <a:cs typeface="+mn-cs"/>
            </a:rPr>
            <a:t> AV metal value and projected EHB paid-to-allowed amounts used in pricing over time.</a:t>
          </a:r>
        </a:p>
        <a:p>
          <a:pPr>
            <a:lnSpc>
              <a:spcPct val="108000"/>
            </a:lnSpc>
          </a:pPr>
          <a:r>
            <a:rPr lang="en-US" sz="1200">
              <a:solidFill>
                <a:sysClr val="windowText" lastClr="000000"/>
              </a:solidFill>
              <a:effectLst/>
              <a:latin typeface="+mn-lt"/>
              <a:ea typeface="+mn-ea"/>
              <a:cs typeface="+mn-cs"/>
            </a:rPr>
            <a:t>				</a:t>
          </a:r>
        </a:p>
        <a:p>
          <a:pPr lvl="0"/>
          <a:r>
            <a:rPr lang="en-US" sz="1400" b="1" u="sng">
              <a:solidFill>
                <a:schemeClr val="tx2"/>
              </a:solidFill>
              <a:effectLst/>
              <a:latin typeface="+mn-lt"/>
              <a:ea typeface="+mn-ea"/>
              <a:cs typeface="+mn-cs"/>
            </a:rPr>
            <a:t>Table 8.1</a:t>
          </a:r>
        </a:p>
        <a:p>
          <a:pPr marL="182880" lvl="1"/>
          <a:r>
            <a:rPr lang="en-US" sz="1200" b="0" u="none">
              <a:solidFill>
                <a:sysClr val="windowText" lastClr="000000"/>
              </a:solidFill>
              <a:effectLst/>
              <a:latin typeface="+mn-lt"/>
              <a:ea typeface="+mn-ea"/>
              <a:cs typeface="+mn-cs"/>
            </a:rPr>
            <a:t>a.</a:t>
          </a:r>
          <a:r>
            <a:rPr lang="en-US" sz="1200" b="0" u="none" baseline="0">
              <a:solidFill>
                <a:sysClr val="windowText" lastClr="000000"/>
              </a:solidFill>
              <a:effectLst/>
              <a:latin typeface="+mn-lt"/>
              <a:ea typeface="+mn-ea"/>
              <a:cs typeface="+mn-cs"/>
            </a:rPr>
            <a:t> Enter information in the yellow cells. Other cells are either calculated or do not take user inputs.</a:t>
          </a:r>
        </a:p>
        <a:p>
          <a:pPr marL="182880" lvl="1"/>
          <a:r>
            <a:rPr lang="en-US" sz="1200">
              <a:solidFill>
                <a:sysClr val="windowText" lastClr="000000"/>
              </a:solidFill>
              <a:effectLst/>
              <a:latin typeface="+mn-lt"/>
              <a:ea typeface="+mn-ea"/>
              <a:cs typeface="+mn-cs"/>
            </a:rPr>
            <a:t>b.</a:t>
          </a:r>
          <a:r>
            <a:rPr lang="en-US" sz="1200" baseline="0">
              <a:solidFill>
                <a:sysClr val="windowText" lastClr="000000"/>
              </a:solidFill>
              <a:effectLst/>
              <a:latin typeface="+mn-lt"/>
              <a:ea typeface="+mn-ea"/>
              <a:cs typeface="+mn-cs"/>
            </a:rPr>
            <a:t> AV Metal Value: Enter the AV Metal Values used to categorize the plan into its metal level. Match the values in each plan year's URRT Worksheet 2, Section I. Plan years are identified in the column headers.</a:t>
          </a:r>
        </a:p>
        <a:p>
          <a:pPr marL="182880" lvl="1"/>
          <a:r>
            <a:rPr lang="en-US" sz="1200" baseline="0">
              <a:solidFill>
                <a:sysClr val="windowText" lastClr="000000"/>
              </a:solidFill>
              <a:effectLst/>
              <a:latin typeface="+mn-lt"/>
              <a:ea typeface="+mn-ea"/>
              <a:cs typeface="+mn-cs"/>
            </a:rPr>
            <a:t>c. AV Pricing Value: Entries should be consistent with the plan's projected EHB paid-to-allowed claims ratio used to develop the AV and Cost Sharing Design factor of each plan year's URRT Worksheet 2, Section 3. Plan years are identified in the column headers.</a:t>
          </a:r>
        </a:p>
        <a:p>
          <a:pPr marL="182880" lvl="1"/>
          <a:r>
            <a:rPr lang="en-US" sz="1200" baseline="0">
              <a:solidFill>
                <a:sysClr val="windowText" lastClr="000000"/>
              </a:solidFill>
              <a:effectLst/>
              <a:latin typeface="+mn-lt"/>
              <a:ea typeface="+mn-ea"/>
              <a:cs typeface="+mn-cs"/>
            </a:rPr>
            <a:t>d. Add and remove rows as needed to capture all plans.</a:t>
          </a:r>
        </a:p>
        <a:p>
          <a:pPr lvl="1"/>
          <a:endParaRPr lang="en-US" sz="1200" baseline="0">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Overall Row</a:t>
          </a:r>
        </a:p>
        <a:p>
          <a:pPr marL="182880" lvl="1"/>
          <a:r>
            <a:rPr lang="en-US" sz="1200" baseline="0">
              <a:solidFill>
                <a:sysClr val="windowText" lastClr="000000"/>
              </a:solidFill>
              <a:effectLst/>
              <a:latin typeface="+mn-lt"/>
              <a:ea typeface="+mn-ea"/>
              <a:cs typeface="+mn-cs"/>
            </a:rPr>
            <a:t>Enter the estimated overall projected amounts for the pool in the plan years identified in the column headers. </a:t>
          </a:r>
        </a:p>
        <a:p>
          <a:pPr lvl="0"/>
          <a:endParaRPr lang="en-US" sz="1200" b="1" u="sng">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Comments</a:t>
          </a:r>
        </a:p>
        <a:p>
          <a:pPr marL="182880" lvl="1"/>
          <a:r>
            <a:rPr lang="en-US" sz="1200" b="0">
              <a:solidFill>
                <a:sysClr val="windowText" lastClr="000000"/>
              </a:solidFill>
              <a:effectLst/>
              <a:latin typeface="+mn-lt"/>
              <a:ea typeface="+mn-ea"/>
              <a:cs typeface="+mn-cs"/>
            </a:rPr>
            <a:t>a. Use the yellow cells in the Comments section to provide narrative and clarifications.</a:t>
          </a:r>
        </a:p>
        <a:p>
          <a:pPr marL="182880" lvl="1"/>
          <a:r>
            <a:rPr lang="en-US" sz="1200" b="0">
              <a:solidFill>
                <a:sysClr val="windowText" lastClr="000000"/>
              </a:solidFill>
              <a:effectLst/>
              <a:latin typeface="+mn-lt"/>
              <a:ea typeface="+mn-ea"/>
              <a:cs typeface="+mn-cs"/>
            </a:rPr>
            <a:t>b. Address material patterns in overall AV Pricing Value and AV Metal Value differences over time.</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12</xdr:col>
      <xdr:colOff>122465</xdr:colOff>
      <xdr:row>8</xdr:row>
      <xdr:rowOff>68036</xdr:rowOff>
    </xdr:from>
    <xdr:to>
      <xdr:col>13</xdr:col>
      <xdr:colOff>7878536</xdr:colOff>
      <xdr:row>26</xdr:row>
      <xdr:rowOff>27214</xdr:rowOff>
    </xdr:to>
    <xdr:sp macro="" textlink="">
      <xdr:nvSpPr>
        <xdr:cNvPr id="2" name="Rectangle 1">
          <a:extLst>
            <a:ext uri="{FF2B5EF4-FFF2-40B4-BE49-F238E27FC236}">
              <a16:creationId xmlns:a16="http://schemas.microsoft.com/office/drawing/2014/main" id="{8765DC93-4992-4087-BA6E-AFE5126C2377}"/>
            </a:ext>
          </a:extLst>
        </xdr:cNvPr>
        <xdr:cNvSpPr/>
      </xdr:nvSpPr>
      <xdr:spPr>
        <a:xfrm>
          <a:off x="14038490" y="1734911"/>
          <a:ext cx="8013246" cy="4359728"/>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6 Instructions</a:t>
          </a:r>
        </a:p>
        <a:p>
          <a:r>
            <a:rPr lang="en-US" sz="1400" b="1" u="sng">
              <a:solidFill>
                <a:schemeClr val="tx2"/>
              </a:solidFill>
              <a:effectLst/>
              <a:latin typeface="+mn-lt"/>
              <a:ea typeface="+mn-ea"/>
              <a:cs typeface="+mn-cs"/>
            </a:rPr>
            <a:t>Purpose</a:t>
          </a:r>
        </a:p>
        <a:p>
          <a:pPr marL="182880">
            <a:lnSpc>
              <a:spcPct val="108000"/>
            </a:lnSpc>
          </a:pPr>
          <a:r>
            <a:rPr lang="en-US" sz="1200">
              <a:solidFill>
                <a:sysClr val="windowText" lastClr="000000"/>
              </a:solidFill>
              <a:effectLst/>
              <a:latin typeface="+mn-lt"/>
              <a:ea typeface="+mn-ea"/>
              <a:cs typeface="+mn-cs"/>
            </a:rPr>
            <a:t>The purpose of this template is to collect information about</a:t>
          </a:r>
          <a:r>
            <a:rPr lang="en-US" sz="1200" baseline="0">
              <a:solidFill>
                <a:sysClr val="windowText" lastClr="000000"/>
              </a:solidFill>
              <a:effectLst/>
              <a:latin typeface="+mn-lt"/>
              <a:ea typeface="+mn-ea"/>
              <a:cs typeface="+mn-cs"/>
            </a:rPr>
            <a:t> AV metal value and projected EHB paid-to-allowed amounts used in pricing over time.</a:t>
          </a:r>
        </a:p>
        <a:p>
          <a:pPr>
            <a:lnSpc>
              <a:spcPct val="108000"/>
            </a:lnSpc>
          </a:pPr>
          <a:r>
            <a:rPr lang="en-US" sz="1200">
              <a:solidFill>
                <a:sysClr val="windowText" lastClr="000000"/>
              </a:solidFill>
              <a:effectLst/>
              <a:latin typeface="+mn-lt"/>
              <a:ea typeface="+mn-ea"/>
              <a:cs typeface="+mn-cs"/>
            </a:rPr>
            <a:t>				</a:t>
          </a:r>
        </a:p>
        <a:p>
          <a:pPr lvl="0"/>
          <a:r>
            <a:rPr lang="en-US" sz="1400" b="1" u="sng">
              <a:solidFill>
                <a:schemeClr val="tx2"/>
              </a:solidFill>
              <a:effectLst/>
              <a:latin typeface="+mn-lt"/>
              <a:ea typeface="+mn-ea"/>
              <a:cs typeface="+mn-cs"/>
            </a:rPr>
            <a:t>Table 8.1</a:t>
          </a:r>
        </a:p>
        <a:p>
          <a:pPr marL="182880" lvl="1"/>
          <a:r>
            <a:rPr lang="en-US" sz="1200" b="0" u="none">
              <a:solidFill>
                <a:sysClr val="windowText" lastClr="000000"/>
              </a:solidFill>
              <a:effectLst/>
              <a:latin typeface="+mn-lt"/>
              <a:ea typeface="+mn-ea"/>
              <a:cs typeface="+mn-cs"/>
            </a:rPr>
            <a:t>a.</a:t>
          </a:r>
          <a:r>
            <a:rPr lang="en-US" sz="1200" b="0" u="none" baseline="0">
              <a:solidFill>
                <a:sysClr val="windowText" lastClr="000000"/>
              </a:solidFill>
              <a:effectLst/>
              <a:latin typeface="+mn-lt"/>
              <a:ea typeface="+mn-ea"/>
              <a:cs typeface="+mn-cs"/>
            </a:rPr>
            <a:t> Enter information in the yellow cells. Other cells are either calculated or do not take user inputs.</a:t>
          </a:r>
        </a:p>
        <a:p>
          <a:pPr marL="182880" lvl="1"/>
          <a:r>
            <a:rPr lang="en-US" sz="1200">
              <a:solidFill>
                <a:sysClr val="windowText" lastClr="000000"/>
              </a:solidFill>
              <a:effectLst/>
              <a:latin typeface="+mn-lt"/>
              <a:ea typeface="+mn-ea"/>
              <a:cs typeface="+mn-cs"/>
            </a:rPr>
            <a:t>b.</a:t>
          </a:r>
          <a:r>
            <a:rPr lang="en-US" sz="1200" baseline="0">
              <a:solidFill>
                <a:sysClr val="windowText" lastClr="000000"/>
              </a:solidFill>
              <a:effectLst/>
              <a:latin typeface="+mn-lt"/>
              <a:ea typeface="+mn-ea"/>
              <a:cs typeface="+mn-cs"/>
            </a:rPr>
            <a:t> AV Metal Value: Enter the AV Metal Values used to categorize the plan into its metal level. Match the values in each plan year's URRT Worksheet 2, Section I. Plan years are identified in the column headers.</a:t>
          </a:r>
        </a:p>
        <a:p>
          <a:pPr marL="182880" lvl="1"/>
          <a:r>
            <a:rPr lang="en-US" sz="1200" baseline="0">
              <a:solidFill>
                <a:sysClr val="windowText" lastClr="000000"/>
              </a:solidFill>
              <a:effectLst/>
              <a:latin typeface="+mn-lt"/>
              <a:ea typeface="+mn-ea"/>
              <a:cs typeface="+mn-cs"/>
            </a:rPr>
            <a:t>c. AV Pricing Value: Entries should be consistent with the plan's projected EHB paid-to-allowed claims ratio used to develop the AV and Cost Sharing Design factor of each plan year's URRT Worksheet 2, Section 3. Plan years are identified in the column headers.</a:t>
          </a:r>
        </a:p>
        <a:p>
          <a:pPr marL="182880" lvl="1"/>
          <a:r>
            <a:rPr lang="en-US" sz="1200" baseline="0">
              <a:solidFill>
                <a:sysClr val="windowText" lastClr="000000"/>
              </a:solidFill>
              <a:effectLst/>
              <a:latin typeface="+mn-lt"/>
              <a:ea typeface="+mn-ea"/>
              <a:cs typeface="+mn-cs"/>
            </a:rPr>
            <a:t>d. Add and remove rows as needed to capture all plans.</a:t>
          </a:r>
        </a:p>
        <a:p>
          <a:pPr lvl="1"/>
          <a:endParaRPr lang="en-US" sz="1200" baseline="0">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Overall Row</a:t>
          </a:r>
        </a:p>
        <a:p>
          <a:pPr marL="182880" lvl="1"/>
          <a:r>
            <a:rPr lang="en-US" sz="1200" baseline="0">
              <a:solidFill>
                <a:sysClr val="windowText" lastClr="000000"/>
              </a:solidFill>
              <a:effectLst/>
              <a:latin typeface="+mn-lt"/>
              <a:ea typeface="+mn-ea"/>
              <a:cs typeface="+mn-cs"/>
            </a:rPr>
            <a:t>Enter the estimated overall projected amounts for the pool in the plan years identified in the column headers. </a:t>
          </a:r>
        </a:p>
        <a:p>
          <a:pPr lvl="0"/>
          <a:endParaRPr lang="en-US" sz="1200" b="1" u="sng">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Comments</a:t>
          </a:r>
        </a:p>
        <a:p>
          <a:pPr marL="182880" lvl="1"/>
          <a:r>
            <a:rPr lang="en-US" sz="1200" b="0">
              <a:solidFill>
                <a:sysClr val="windowText" lastClr="000000"/>
              </a:solidFill>
              <a:effectLst/>
              <a:latin typeface="+mn-lt"/>
              <a:ea typeface="+mn-ea"/>
              <a:cs typeface="+mn-cs"/>
            </a:rPr>
            <a:t>a. Use the yellow cells in the Comments section to provide narrative and clarifications.</a:t>
          </a:r>
        </a:p>
        <a:p>
          <a:pPr marL="182880" lvl="1"/>
          <a:r>
            <a:rPr lang="en-US" sz="1200" b="0">
              <a:solidFill>
                <a:sysClr val="windowText" lastClr="000000"/>
              </a:solidFill>
              <a:effectLst/>
              <a:latin typeface="+mn-lt"/>
              <a:ea typeface="+mn-ea"/>
              <a:cs typeface="+mn-cs"/>
            </a:rPr>
            <a:t>b. Address material patterns in overall AV Pricing Value and AV Metal Value differences over time.</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19</xdr:col>
      <xdr:colOff>0</xdr:colOff>
      <xdr:row>7</xdr:row>
      <xdr:rowOff>0</xdr:rowOff>
    </xdr:from>
    <xdr:to>
      <xdr:col>20</xdr:col>
      <xdr:colOff>0</xdr:colOff>
      <xdr:row>62</xdr:row>
      <xdr:rowOff>95250</xdr:rowOff>
    </xdr:to>
    <xdr:sp macro="" textlink="">
      <xdr:nvSpPr>
        <xdr:cNvPr id="2" name="Rectangle 1">
          <a:extLst>
            <a:ext uri="{FF2B5EF4-FFF2-40B4-BE49-F238E27FC236}">
              <a16:creationId xmlns:a16="http://schemas.microsoft.com/office/drawing/2014/main" id="{4FDB6D6F-C690-45ED-88B6-D64C336354E2}"/>
            </a:ext>
          </a:extLst>
        </xdr:cNvPr>
        <xdr:cNvSpPr/>
      </xdr:nvSpPr>
      <xdr:spPr>
        <a:xfrm>
          <a:off x="16056429" y="1700893"/>
          <a:ext cx="7402285" cy="11620500"/>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7 Instructions</a:t>
          </a:r>
        </a:p>
        <a:p>
          <a:r>
            <a:rPr lang="en-US" sz="1400" b="1" u="sng">
              <a:solidFill>
                <a:schemeClr val="tx2"/>
              </a:solidFill>
              <a:effectLst/>
              <a:latin typeface="+mn-lt"/>
              <a:ea typeface="+mn-ea"/>
              <a:cs typeface="+mn-cs"/>
            </a:rPr>
            <a:t>Purpose</a:t>
          </a:r>
        </a:p>
        <a:p>
          <a:pPr marL="182880">
            <a:lnSpc>
              <a:spcPct val="108000"/>
            </a:lnSpc>
          </a:pPr>
          <a:r>
            <a:rPr lang="en-US" sz="1200">
              <a:solidFill>
                <a:sysClr val="windowText" lastClr="000000"/>
              </a:solidFill>
              <a:effectLst/>
              <a:latin typeface="+mn-lt"/>
              <a:ea typeface="+mn-ea"/>
              <a:cs typeface="+mn-cs"/>
            </a:rPr>
            <a:t>The purpose of this template is to collect information about</a:t>
          </a:r>
          <a:r>
            <a:rPr lang="en-US" sz="1200" baseline="0">
              <a:solidFill>
                <a:sysClr val="windowText" lastClr="000000"/>
              </a:solidFill>
              <a:effectLst/>
              <a:latin typeface="+mn-lt"/>
              <a:ea typeface="+mn-ea"/>
              <a:cs typeface="+mn-cs"/>
            </a:rPr>
            <a:t> URRT Worksheet 2, Section 3 rating factors and to assess the model drift by reviewing year-to-year changes and </a:t>
          </a:r>
          <a:r>
            <a:rPr lang="en-US" sz="1200">
              <a:solidFill>
                <a:sysClr val="windowText" lastClr="000000"/>
              </a:solidFill>
              <a:effectLst/>
              <a:latin typeface="+mn-lt"/>
              <a:ea typeface="+mn-ea"/>
              <a:cs typeface="+mn-cs"/>
            </a:rPr>
            <a:t>actual</a:t>
          </a:r>
          <a:r>
            <a:rPr lang="en-US" sz="1200" baseline="0">
              <a:solidFill>
                <a:sysClr val="windowText" lastClr="000000"/>
              </a:solidFill>
              <a:effectLst/>
              <a:latin typeface="+mn-lt"/>
              <a:ea typeface="+mn-ea"/>
              <a:cs typeface="+mn-cs"/>
            </a:rPr>
            <a:t>-to-expected comparisons.</a:t>
          </a:r>
          <a:r>
            <a:rPr lang="en-US" sz="1200">
              <a:solidFill>
                <a:sysClr val="windowText" lastClr="000000"/>
              </a:solidFill>
              <a:effectLst/>
              <a:latin typeface="+mn-lt"/>
              <a:ea typeface="+mn-ea"/>
              <a:cs typeface="+mn-cs"/>
            </a:rPr>
            <a:t>				</a:t>
          </a:r>
        </a:p>
        <a:p>
          <a:pPr lvl="0"/>
          <a:r>
            <a:rPr lang="en-US" sz="1400" b="1" u="sng">
              <a:solidFill>
                <a:schemeClr val="tx2"/>
              </a:solidFill>
              <a:effectLst/>
              <a:latin typeface="+mn-lt"/>
              <a:ea typeface="+mn-ea"/>
              <a:cs typeface="+mn-cs"/>
            </a:rPr>
            <a:t>Table</a:t>
          </a:r>
        </a:p>
        <a:p>
          <a:pPr marL="182880" lvl="1"/>
          <a:r>
            <a:rPr lang="en-US" sz="1200" b="0" u="none">
              <a:solidFill>
                <a:sysClr val="windowText" lastClr="000000"/>
              </a:solidFill>
              <a:effectLst/>
              <a:latin typeface="+mn-lt"/>
              <a:ea typeface="+mn-ea"/>
              <a:cs typeface="+mn-cs"/>
            </a:rPr>
            <a:t>a.</a:t>
          </a:r>
          <a:r>
            <a:rPr lang="en-US" sz="1200" b="0" u="none" baseline="0">
              <a:solidFill>
                <a:sysClr val="windowText" lastClr="000000"/>
              </a:solidFill>
              <a:effectLst/>
              <a:latin typeface="+mn-lt"/>
              <a:ea typeface="+mn-ea"/>
              <a:cs typeface="+mn-cs"/>
            </a:rPr>
            <a:t> Enter information in the yellow cells. Other cells are either calculated or do not take user inputs.</a:t>
          </a:r>
        </a:p>
        <a:p>
          <a:pPr marL="182880" lvl="1"/>
          <a:r>
            <a:rPr lang="en-US" sz="1200">
              <a:solidFill>
                <a:sysClr val="windowText" lastClr="000000"/>
              </a:solidFill>
              <a:effectLst/>
              <a:latin typeface="+mn-lt"/>
              <a:ea typeface="+mn-ea"/>
              <a:cs typeface="+mn-cs"/>
            </a:rPr>
            <a:t>b.</a:t>
          </a:r>
          <a:r>
            <a:rPr lang="en-US" sz="1200" baseline="0">
              <a:solidFill>
                <a:sysClr val="windowText" lastClr="000000"/>
              </a:solidFill>
              <a:effectLst/>
              <a:latin typeface="+mn-lt"/>
              <a:ea typeface="+mn-ea"/>
              <a:cs typeface="+mn-cs"/>
            </a:rPr>
            <a:t> Except where metal levels are indicated for certain paid-to-allowed ratios, amounts should reflect best estimates at the overall pool level (i.e., not the plan level). </a:t>
          </a:r>
        </a:p>
        <a:p>
          <a:pPr marL="182880" lvl="1"/>
          <a:r>
            <a:rPr lang="en-US" sz="1200" baseline="0">
              <a:solidFill>
                <a:sysClr val="windowText" lastClr="000000"/>
              </a:solidFill>
              <a:effectLst/>
              <a:latin typeface="+mn-lt"/>
              <a:ea typeface="+mn-ea"/>
              <a:cs typeface="+mn-cs"/>
            </a:rPr>
            <a:t>c. </a:t>
          </a:r>
          <a:r>
            <a:rPr lang="en-US" sz="1200" b="1" baseline="0">
              <a:solidFill>
                <a:sysClr val="windowText" lastClr="000000"/>
              </a:solidFill>
              <a:effectLst/>
              <a:latin typeface="+mn-lt"/>
              <a:ea typeface="+mn-ea"/>
              <a:cs typeface="+mn-cs"/>
            </a:rPr>
            <a:t>Projected (Expected) Results:</a:t>
          </a:r>
        </a:p>
        <a:p>
          <a:pPr marL="365760" lvl="2"/>
          <a:r>
            <a:rPr lang="en-US" sz="1200" baseline="0">
              <a:solidFill>
                <a:sysClr val="windowText" lastClr="000000"/>
              </a:solidFill>
              <a:effectLst/>
              <a:latin typeface="+mn-lt"/>
              <a:ea typeface="+mn-ea"/>
              <a:cs typeface="+mn-cs"/>
            </a:rPr>
            <a:t>• All expected results should be based on the same assumptions, models, and methodologies used in URRT Worksheet 2, Section 3 of the corresponding projection year's rate filing.</a:t>
          </a:r>
        </a:p>
        <a:p>
          <a:pPr marL="365760" lvl="2"/>
          <a:r>
            <a:rPr lang="en-US" sz="1200" baseline="0">
              <a:solidFill>
                <a:sysClr val="windowText" lastClr="000000"/>
              </a:solidFill>
              <a:effectLst/>
              <a:latin typeface="+mn-lt"/>
              <a:ea typeface="+mn-ea"/>
              <a:cs typeface="+mn-cs"/>
            </a:rPr>
            <a:t>• In Comments, explain how you converted the basis from plan-level to overall pool-level (or metal-level, as applicable).</a:t>
          </a:r>
        </a:p>
        <a:p>
          <a:pPr marL="182880" lvl="1"/>
          <a:r>
            <a:rPr lang="en-US" sz="1200" baseline="0">
              <a:solidFill>
                <a:sysClr val="windowText" lastClr="000000"/>
              </a:solidFill>
              <a:effectLst/>
              <a:latin typeface="+mn-lt"/>
              <a:ea typeface="+mn-ea"/>
              <a:cs typeface="+mn-cs"/>
            </a:rPr>
            <a:t>d. </a:t>
          </a:r>
          <a:r>
            <a:rPr lang="en-US" sz="1200" b="1" baseline="0">
              <a:solidFill>
                <a:sysClr val="windowText" lastClr="000000"/>
              </a:solidFill>
              <a:effectLst/>
              <a:latin typeface="+mn-lt"/>
              <a:ea typeface="+mn-ea"/>
              <a:cs typeface="+mn-cs"/>
            </a:rPr>
            <a:t>Actual Experience:</a:t>
          </a:r>
        </a:p>
        <a:p>
          <a:pPr marL="365760" lvl="2"/>
          <a:r>
            <a:rPr lang="en-US" sz="1200" baseline="0">
              <a:solidFill>
                <a:sysClr val="windowText" lastClr="000000"/>
              </a:solidFill>
              <a:effectLst/>
              <a:latin typeface="+mn-lt"/>
              <a:ea typeface="+mn-ea"/>
              <a:cs typeface="+mn-cs"/>
            </a:rPr>
            <a:t>• Actual experience should be reported on a comparable basis to the expected results. </a:t>
          </a:r>
          <a:r>
            <a:rPr lang="en-US" sz="1200" i="0" baseline="0">
              <a:solidFill>
                <a:sysClr val="windowText" lastClr="000000"/>
              </a:solidFill>
              <a:effectLst/>
              <a:latin typeface="+mn-lt"/>
              <a:ea typeface="+mn-ea"/>
              <a:cs typeface="+mn-cs"/>
            </a:rPr>
            <a:t>When raw data is available and appropriate, it should be used. Only when observed actual amounts cannot be used, recast estimates may be used instead; for each such recast estimate, derivation, and/or allocation, please explain the methodology in the Comments' section at the bottom of this worksheet.</a:t>
          </a:r>
          <a:endParaRPr lang="en-US" sz="1200" baseline="0">
            <a:solidFill>
              <a:sysClr val="windowText" lastClr="000000"/>
            </a:solidFill>
            <a:effectLst/>
            <a:latin typeface="+mn-lt"/>
            <a:ea typeface="+mn-ea"/>
            <a:cs typeface="+mn-cs"/>
          </a:endParaRPr>
        </a:p>
        <a:p>
          <a:pPr marL="365760" lvl="2"/>
          <a:r>
            <a:rPr lang="en-US" sz="1200" baseline="0">
              <a:solidFill>
                <a:sysClr val="windowText" lastClr="000000"/>
              </a:solidFill>
              <a:effectLst/>
              <a:latin typeface="+mn-lt"/>
              <a:ea typeface="+mn-ea"/>
              <a:cs typeface="+mn-cs"/>
            </a:rPr>
            <a:t>• If the actual experience reflects differences in underlying rating variables or data segments, normalize the experience where possible to align with the assumptions in the rate filing.</a:t>
          </a:r>
        </a:p>
        <a:p>
          <a:pPr marL="365760" lvl="2"/>
          <a:r>
            <a:rPr lang="en-US" sz="1200" baseline="0">
              <a:solidFill>
                <a:sysClr val="windowText" lastClr="000000"/>
              </a:solidFill>
              <a:effectLst/>
              <a:latin typeface="+mn-lt"/>
              <a:ea typeface="+mn-ea"/>
              <a:cs typeface="+mn-cs"/>
            </a:rPr>
            <a:t>• Highlight any remaining discrepancies or deviations (e.g., changes in risk mix, new market segments) in the Comments section.</a:t>
          </a:r>
        </a:p>
        <a:p>
          <a:pPr marL="182880" lvl="1"/>
          <a:r>
            <a:rPr lang="en-US" sz="1200" baseline="0">
              <a:solidFill>
                <a:sysClr val="windowText" lastClr="000000"/>
              </a:solidFill>
              <a:effectLst/>
              <a:latin typeface="+mn-lt"/>
              <a:ea typeface="+mn-ea"/>
              <a:cs typeface="+mn-cs"/>
            </a:rPr>
            <a:t>e.  </a:t>
          </a:r>
          <a:r>
            <a:rPr lang="en-US" sz="1200" b="1" baseline="0">
              <a:solidFill>
                <a:sysClr val="windowText" lastClr="000000"/>
              </a:solidFill>
              <a:effectLst/>
              <a:latin typeface="+mn-lt"/>
              <a:ea typeface="+mn-ea"/>
              <a:cs typeface="+mn-cs"/>
            </a:rPr>
            <a:t>Definitions:</a:t>
          </a:r>
        </a:p>
        <a:p>
          <a:pPr marL="365760" lvl="2"/>
          <a:r>
            <a:rPr lang="en-US" sz="1200" baseline="0">
              <a:solidFill>
                <a:sysClr val="windowText" lastClr="000000"/>
              </a:solidFill>
              <a:effectLst/>
              <a:latin typeface="+mn-lt"/>
              <a:ea typeface="+mn-ea"/>
              <a:cs typeface="+mn-cs"/>
            </a:rPr>
            <a:t>• Paid-to-Allowed Ratio (All, Unadjusted): Enter the overall ratio of (completed incurred claims) versus (completed allowed claims) for the entire pool, including all EHBs and non-EHBs. </a:t>
          </a:r>
        </a:p>
        <a:p>
          <a:pPr marL="365760" lvl="2"/>
          <a:r>
            <a:rPr lang="en-US" sz="1200" baseline="0">
              <a:solidFill>
                <a:sysClr val="windowText" lastClr="000000"/>
              </a:solidFill>
              <a:effectLst/>
              <a:latin typeface="+mn-lt"/>
              <a:ea typeface="+mn-ea"/>
              <a:cs typeface="+mn-cs"/>
              <a:sym typeface="Wingdings" panose="05000000000000000000" pitchFamily="2" charset="2"/>
            </a:rPr>
            <a:t> Paid-to-Allowed Ratio (Metal level, Unadjusted): Enter the overall ratio of (completed incurred claims) versus (completed allowed claims) for each indicated metal level, including all EHBs and non-EHBs.</a:t>
          </a:r>
          <a:endParaRPr lang="en-US" sz="1200" baseline="0">
            <a:solidFill>
              <a:sysClr val="windowText" lastClr="000000"/>
            </a:solidFill>
            <a:effectLst/>
            <a:latin typeface="+mn-lt"/>
            <a:ea typeface="+mn-ea"/>
            <a:cs typeface="+mn-cs"/>
          </a:endParaRPr>
        </a:p>
        <a:p>
          <a:pPr marL="365760" lvl="2"/>
          <a:r>
            <a:rPr lang="en-US" sz="1200" baseline="0">
              <a:solidFill>
                <a:sysClr val="windowText" lastClr="000000"/>
              </a:solidFill>
              <a:effectLst/>
              <a:latin typeface="+mn-lt"/>
              <a:ea typeface="+mn-ea"/>
              <a:cs typeface="+mn-cs"/>
            </a:rPr>
            <a:t>• The AV and Cost Sharing Design of Plan Development Components section lists components of the AV and Cost Sharing Design of Plan factor from URRT Worksheet 2, Section 3. See the rate filing checklist for additional details.</a:t>
          </a:r>
        </a:p>
        <a:p>
          <a:pPr marL="365760" lvl="2"/>
          <a:r>
            <a:rPr lang="en-US" sz="1200" baseline="0">
              <a:solidFill>
                <a:sysClr val="windowText" lastClr="000000"/>
              </a:solidFill>
              <a:effectLst/>
              <a:latin typeface="+mn-lt"/>
              <a:ea typeface="+mn-ea"/>
              <a:cs typeface="+mn-cs"/>
            </a:rPr>
            <a:t>• AV Pricing Value: Enter the overall paid-to-allowed ratio for EHBs only.</a:t>
          </a:r>
        </a:p>
        <a:p>
          <a:pPr marL="365760" lvl="2"/>
          <a:r>
            <a:rPr lang="en-US" sz="1200">
              <a:solidFill>
                <a:sysClr val="windowText" lastClr="000000"/>
              </a:solidFill>
              <a:effectLst/>
              <a:latin typeface="+mn-lt"/>
              <a:ea typeface="+mn-ea"/>
              <a:cs typeface="+mn-cs"/>
            </a:rPr>
            <a:t>• CSR Silver Load: This</a:t>
          </a:r>
          <a:r>
            <a:rPr lang="en-US" sz="1200" baseline="0">
              <a:solidFill>
                <a:sysClr val="windowText" lastClr="000000"/>
              </a:solidFill>
              <a:effectLst/>
              <a:latin typeface="+mn-lt"/>
              <a:ea typeface="+mn-ea"/>
              <a:cs typeface="+mn-cs"/>
            </a:rPr>
            <a:t> factor only applies to individual exchange silver plans, but the pool-level impact should be entered in this row in this exhibit.</a:t>
          </a:r>
        </a:p>
        <a:p>
          <a:pPr lvl="0"/>
          <a:endParaRPr lang="en-US" sz="1400" b="1" u="sng">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Comments</a:t>
          </a:r>
        </a:p>
        <a:p>
          <a:pPr marL="182880" lvl="1"/>
          <a:r>
            <a:rPr lang="en-US" sz="1200" b="0">
              <a:solidFill>
                <a:sysClr val="windowText" lastClr="000000"/>
              </a:solidFill>
              <a:effectLst/>
              <a:latin typeface="+mn-lt"/>
              <a:ea typeface="+mn-ea"/>
              <a:cs typeface="+mn-cs"/>
            </a:rPr>
            <a:t>Use the yellow cells in the Comments section to provide narrative and clarifications.</a:t>
          </a:r>
        </a:p>
        <a:p>
          <a:pPr marL="182880" lvl="1"/>
          <a:r>
            <a:rPr lang="en-US" sz="1100">
              <a:solidFill>
                <a:sysClr val="windowText" lastClr="000000"/>
              </a:solidFill>
              <a:effectLst/>
              <a:latin typeface="+mn-lt"/>
              <a:ea typeface="+mn-ea"/>
              <a:cs typeface="+mn-cs"/>
            </a:rPr>
            <a:t>If you observe any significant discrepancy between actual and expected results, provide</a:t>
          </a:r>
          <a:r>
            <a:rPr lang="en-US" sz="1100" baseline="0">
              <a:solidFill>
                <a:sysClr val="windowText" lastClr="000000"/>
              </a:solidFill>
              <a:effectLst/>
              <a:latin typeface="+mn-lt"/>
              <a:ea typeface="+mn-ea"/>
              <a:cs typeface="+mn-cs"/>
            </a:rPr>
            <a:t> the following information in the Comments section. Otherwise, identify the external document and section that includes the following information.</a:t>
          </a:r>
          <a:endParaRPr lang="en-US" sz="1200">
            <a:solidFill>
              <a:sysClr val="windowText" lastClr="000000"/>
            </a:solidFill>
            <a:effectLst/>
          </a:endParaRPr>
        </a:p>
        <a:p>
          <a:pPr marL="182880" lvl="1"/>
          <a:endParaRPr lang="en-US" sz="600" b="1">
            <a:solidFill>
              <a:sysClr val="windowText" lastClr="000000"/>
            </a:solidFill>
            <a:effectLst/>
            <a:latin typeface="+mn-lt"/>
            <a:ea typeface="+mn-ea"/>
            <a:cs typeface="+mn-cs"/>
          </a:endParaRPr>
        </a:p>
        <a:p>
          <a:pPr marL="182880" lvl="1"/>
          <a:r>
            <a:rPr lang="en-US" sz="1100" b="1">
              <a:solidFill>
                <a:sysClr val="windowText" lastClr="000000"/>
              </a:solidFill>
              <a:effectLst/>
              <a:latin typeface="+mn-lt"/>
              <a:ea typeface="+mn-ea"/>
              <a:cs typeface="+mn-cs"/>
            </a:rPr>
            <a:t>Identify Material Differences</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Clearly describe the magnitude and nature of the discrepancy.</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Indicate whether the difference is isolated or part of a broader trend.</a:t>
          </a:r>
        </a:p>
        <a:p>
          <a:pPr marL="182880" lvl="2"/>
          <a:endParaRPr lang="en-US" sz="600">
            <a:solidFill>
              <a:sysClr val="windowText" lastClr="000000"/>
            </a:solidFill>
            <a:effectLst/>
          </a:endParaRPr>
        </a:p>
        <a:p>
          <a:pPr marL="182880" lvl="1"/>
          <a:r>
            <a:rPr lang="en-US" sz="1100" b="1">
              <a:solidFill>
                <a:sysClr val="windowText" lastClr="000000"/>
              </a:solidFill>
              <a:effectLst/>
              <a:latin typeface="+mn-lt"/>
              <a:ea typeface="+mn-ea"/>
              <a:cs typeface="+mn-cs"/>
            </a:rPr>
            <a:t>Root Cause Analysis</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Investigate the key drivers of significant differences in actual-to-expected (A:E) results.</a:t>
          </a:r>
          <a:endParaRPr lang="en-US" sz="1200">
            <a:solidFill>
              <a:sysClr val="windowText" lastClr="000000"/>
            </a:solidFill>
            <a:effectLst/>
          </a:endParaRPr>
        </a:p>
        <a:p>
          <a:pPr marL="182880" marR="0" lvl="2"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 Distinguish between internal model issues and external market or environmental influences.</a:t>
          </a:r>
          <a:endParaRPr lang="en-US" sz="1200">
            <a:effectLst/>
          </a:endParaRPr>
        </a:p>
        <a:p>
          <a:pPr marL="182880" lvl="2"/>
          <a:endParaRPr lang="en-US" sz="600">
            <a:solidFill>
              <a:sysClr val="windowText" lastClr="000000"/>
            </a:solidFill>
            <a:effectLst/>
          </a:endParaRPr>
        </a:p>
        <a:p>
          <a:pPr marL="182880" lvl="1"/>
          <a:r>
            <a:rPr lang="en-US" sz="1100" b="1">
              <a:solidFill>
                <a:sysClr val="windowText" lastClr="000000"/>
              </a:solidFill>
              <a:effectLst/>
              <a:latin typeface="+mn-lt"/>
              <a:ea typeface="+mn-ea"/>
              <a:cs typeface="+mn-cs"/>
            </a:rPr>
            <a:t>Historical Context &amp; Trend Analysis</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Compare current A/E results with historical outcomes to determine if the variance is a one-time anomaly or a recurring pattern.</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Note any changes in underlying assumptions or external conditions since previous evaluations.</a:t>
          </a:r>
        </a:p>
        <a:p>
          <a:pPr marL="182880" lvl="2"/>
          <a:endParaRPr lang="en-US" sz="600">
            <a:solidFill>
              <a:sysClr val="windowText" lastClr="000000"/>
            </a:solidFill>
            <a:effectLst/>
          </a:endParaRPr>
        </a:p>
        <a:p>
          <a:pPr marL="182880" lvl="1"/>
          <a:r>
            <a:rPr lang="en-US" sz="1100" b="1">
              <a:solidFill>
                <a:sysClr val="windowText" lastClr="000000"/>
              </a:solidFill>
              <a:effectLst/>
              <a:latin typeface="+mn-lt"/>
              <a:ea typeface="+mn-ea"/>
              <a:cs typeface="+mn-cs"/>
            </a:rPr>
            <a:t>Describe Model Deficiencies</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For each material difference that indicates a deficiency, explain the identified issue.</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Summarize the root cause and contributing factors in clear, concise language.</a:t>
          </a:r>
        </a:p>
        <a:p>
          <a:pPr marL="182880" lvl="2"/>
          <a:endParaRPr lang="en-US" sz="600">
            <a:solidFill>
              <a:sysClr val="windowText" lastClr="000000"/>
            </a:solidFill>
            <a:effectLst/>
          </a:endParaRPr>
        </a:p>
        <a:p>
          <a:pPr marL="182880" lvl="1"/>
          <a:r>
            <a:rPr lang="en-US" sz="1100" b="1">
              <a:solidFill>
                <a:sysClr val="windowText" lastClr="000000"/>
              </a:solidFill>
              <a:effectLst/>
              <a:latin typeface="+mn-lt"/>
              <a:ea typeface="+mn-ea"/>
              <a:cs typeface="+mn-cs"/>
            </a:rPr>
            <a:t>Document Model Updates</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Specify how you have updated or plan to update the model to address each identified issue.</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Outline any modifications to assumptions, data sources, or methodologies.</a:t>
          </a:r>
        </a:p>
        <a:p>
          <a:pPr marL="182880" lvl="2"/>
          <a:endParaRPr lang="en-US" sz="600">
            <a:solidFill>
              <a:sysClr val="windowText" lastClr="000000"/>
            </a:solidFill>
            <a:effectLst/>
          </a:endParaRPr>
        </a:p>
        <a:p>
          <a:pPr marL="182880" lvl="1"/>
          <a:r>
            <a:rPr lang="en-US" sz="1100" b="1">
              <a:solidFill>
                <a:sysClr val="windowText" lastClr="000000"/>
              </a:solidFill>
              <a:effectLst/>
              <a:latin typeface="+mn-lt"/>
              <a:ea typeface="+mn-ea"/>
              <a:cs typeface="+mn-cs"/>
            </a:rPr>
            <a:t>Expected Impact &amp; Action Plan</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Provide a qualitative or quantitative estimate of how each proposed change is expected to improve the A/E alignment.</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Include timelines for implementing these changes and for re-evaluating the model’s performance post-implementation.</a:t>
          </a:r>
          <a:endParaRPr lang="en-US" sz="1200">
            <a:solidFill>
              <a:sysClr val="windowText" lastClr="000000"/>
            </a:solidFill>
            <a:effectLst/>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14</xdr:col>
      <xdr:colOff>0</xdr:colOff>
      <xdr:row>6</xdr:row>
      <xdr:rowOff>0</xdr:rowOff>
    </xdr:from>
    <xdr:to>
      <xdr:col>19</xdr:col>
      <xdr:colOff>615724</xdr:colOff>
      <xdr:row>25</xdr:row>
      <xdr:rowOff>0</xdr:rowOff>
    </xdr:to>
    <xdr:sp macro="" textlink="">
      <xdr:nvSpPr>
        <xdr:cNvPr id="2" name="Rectangle 1">
          <a:extLst>
            <a:ext uri="{FF2B5EF4-FFF2-40B4-BE49-F238E27FC236}">
              <a16:creationId xmlns:a16="http://schemas.microsoft.com/office/drawing/2014/main" id="{1ABB17A4-DB47-4A93-A3EF-CB8EC9F95C2C}"/>
            </a:ext>
          </a:extLst>
        </xdr:cNvPr>
        <xdr:cNvSpPr/>
      </xdr:nvSpPr>
      <xdr:spPr>
        <a:xfrm>
          <a:off x="17502188" y="1476375"/>
          <a:ext cx="7402286" cy="4583906"/>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8 Instructions</a:t>
          </a:r>
        </a:p>
        <a:p>
          <a:r>
            <a:rPr lang="en-US" sz="1400" b="1" u="sng">
              <a:solidFill>
                <a:schemeClr val="tx2"/>
              </a:solidFill>
              <a:effectLst/>
              <a:latin typeface="+mn-lt"/>
              <a:ea typeface="+mn-ea"/>
              <a:cs typeface="+mn-cs"/>
            </a:rPr>
            <a:t>Purpose</a:t>
          </a:r>
        </a:p>
        <a:p>
          <a:pPr marL="182880">
            <a:lnSpc>
              <a:spcPct val="108000"/>
            </a:lnSpc>
          </a:pPr>
          <a:r>
            <a:rPr lang="en-US" sz="1200">
              <a:solidFill>
                <a:sysClr val="windowText" lastClr="000000"/>
              </a:solidFill>
              <a:effectLst/>
              <a:latin typeface="+mn-lt"/>
              <a:ea typeface="+mn-ea"/>
              <a:cs typeface="+mn-cs"/>
            </a:rPr>
            <a:t>The purpose of this template is to collect information about</a:t>
          </a:r>
          <a:r>
            <a:rPr lang="en-US" sz="1200" baseline="0">
              <a:solidFill>
                <a:sysClr val="windowText" lastClr="000000"/>
              </a:solidFill>
              <a:effectLst/>
              <a:latin typeface="+mn-lt"/>
              <a:ea typeface="+mn-ea"/>
              <a:cs typeface="+mn-cs"/>
            </a:rPr>
            <a:t> Cost-Share Reduction (CSR) and Advance Premium Tax Credit (APTC) experience.</a:t>
          </a:r>
        </a:p>
        <a:p>
          <a:pPr>
            <a:lnSpc>
              <a:spcPct val="108000"/>
            </a:lnSpc>
          </a:pPr>
          <a:r>
            <a:rPr lang="en-US" sz="1200">
              <a:solidFill>
                <a:sysClr val="windowText" lastClr="000000"/>
              </a:solidFill>
              <a:effectLst/>
              <a:latin typeface="+mn-lt"/>
              <a:ea typeface="+mn-ea"/>
              <a:cs typeface="+mn-cs"/>
            </a:rPr>
            <a:t>				</a:t>
          </a:r>
        </a:p>
        <a:p>
          <a:pPr lvl="0"/>
          <a:r>
            <a:rPr lang="en-US" sz="1400" b="1" u="sng">
              <a:solidFill>
                <a:schemeClr val="tx2"/>
              </a:solidFill>
              <a:effectLst/>
              <a:latin typeface="+mn-lt"/>
              <a:ea typeface="+mn-ea"/>
              <a:cs typeface="+mn-cs"/>
            </a:rPr>
            <a:t>Table</a:t>
          </a:r>
        </a:p>
        <a:p>
          <a:pPr marL="182880" lvl="1"/>
          <a:r>
            <a:rPr lang="en-US" sz="1200" b="0" u="none">
              <a:solidFill>
                <a:sysClr val="windowText" lastClr="000000"/>
              </a:solidFill>
              <a:effectLst/>
              <a:latin typeface="+mn-lt"/>
              <a:ea typeface="+mn-ea"/>
              <a:cs typeface="+mn-cs"/>
            </a:rPr>
            <a:t>a.</a:t>
          </a:r>
          <a:r>
            <a:rPr lang="en-US" sz="1200" b="0" u="none" baseline="0">
              <a:solidFill>
                <a:sysClr val="windowText" lastClr="000000"/>
              </a:solidFill>
              <a:effectLst/>
              <a:latin typeface="+mn-lt"/>
              <a:ea typeface="+mn-ea"/>
              <a:cs typeface="+mn-cs"/>
            </a:rPr>
            <a:t> Enter information in the yellow cells. Other cells are either calculated or do not take user inputs.</a:t>
          </a:r>
        </a:p>
        <a:p>
          <a:pPr marL="182880" lvl="1"/>
          <a:r>
            <a:rPr lang="en-US" sz="1200">
              <a:solidFill>
                <a:sysClr val="windowText" lastClr="000000"/>
              </a:solidFill>
              <a:effectLst/>
              <a:latin typeface="+mn-lt"/>
              <a:ea typeface="+mn-ea"/>
              <a:cs typeface="+mn-cs"/>
            </a:rPr>
            <a:t>b.</a:t>
          </a:r>
          <a:r>
            <a:rPr lang="en-US" sz="1200" baseline="0">
              <a:solidFill>
                <a:sysClr val="windowText" lastClr="000000"/>
              </a:solidFill>
              <a:effectLst/>
              <a:latin typeface="+mn-lt"/>
              <a:ea typeface="+mn-ea"/>
              <a:cs typeface="+mn-cs"/>
            </a:rPr>
            <a:t> All entries should be consistent with URRT information from the PY2026 rate filing, except the entries in the 'CSR Silver Load (Projected)' column which should reflect the PY2024 projection.</a:t>
          </a:r>
        </a:p>
        <a:p>
          <a:pPr marL="182880" lvl="1"/>
          <a:r>
            <a:rPr lang="en-US" sz="1200" baseline="0">
              <a:solidFill>
                <a:sysClr val="windowText" lastClr="000000"/>
              </a:solidFill>
              <a:effectLst/>
              <a:latin typeface="+mn-lt"/>
              <a:ea typeface="+mn-ea"/>
              <a:cs typeface="+mn-cs"/>
            </a:rPr>
            <a:t>c. Include a row for each Plan + CSR Plan Variant type in the table. Add more rows to the table as needed so each Plan + CSR Plan Variant type with PY2024 experience is listed.</a:t>
          </a:r>
        </a:p>
        <a:p>
          <a:pPr marL="182880" lvl="1"/>
          <a:r>
            <a:rPr lang="en-US" sz="1200" baseline="0">
              <a:solidFill>
                <a:sysClr val="windowText" lastClr="000000"/>
              </a:solidFill>
              <a:effectLst/>
              <a:latin typeface="+mn-lt"/>
              <a:ea typeface="+mn-ea"/>
              <a:cs typeface="+mn-cs"/>
            </a:rPr>
            <a:t>d. Ensure plan and aggregate experience reconcile with URRT Worksheet 2, Section 2. Otherwise, explain the discrepancy in the Comment section.</a:t>
          </a:r>
        </a:p>
        <a:p>
          <a:pPr marL="182880" lvl="1"/>
          <a:r>
            <a:rPr lang="en-US" sz="1200" baseline="0">
              <a:solidFill>
                <a:sysClr val="windowText" lastClr="000000"/>
              </a:solidFill>
              <a:effectLst/>
              <a:latin typeface="+mn-lt"/>
              <a:ea typeface="+mn-ea"/>
              <a:cs typeface="+mn-cs"/>
            </a:rPr>
            <a:t>e. Enter the total CSR claims that the federal government would be responsible for if CSRs were funded in the CSR Paid Claims column. If the amounts entered are estimates, use your best estimate and describe the data, assumptions, models, and methodologies used in the Comment section.</a:t>
          </a:r>
        </a:p>
        <a:p>
          <a:pPr marL="182880" lvl="1"/>
          <a:r>
            <a:rPr lang="en-US" sz="1200" baseline="0">
              <a:solidFill>
                <a:sysClr val="windowText" lastClr="000000"/>
              </a:solidFill>
              <a:effectLst/>
              <a:latin typeface="+mn-lt"/>
              <a:ea typeface="+mn-ea"/>
              <a:cs typeface="+mn-cs"/>
            </a:rPr>
            <a:t>f. Enter the total premium the company receives via APTC payments.</a:t>
          </a:r>
        </a:p>
        <a:p>
          <a:pPr marL="182880" lvl="1"/>
          <a:r>
            <a:rPr lang="en-US" sz="1200" baseline="0">
              <a:solidFill>
                <a:sysClr val="windowText" lastClr="000000"/>
              </a:solidFill>
              <a:effectLst/>
              <a:latin typeface="+mn-lt"/>
              <a:ea typeface="+mn-ea"/>
              <a:cs typeface="+mn-cs"/>
            </a:rPr>
            <a:t>g. Add or remove rows from table to capture all plans.</a:t>
          </a:r>
        </a:p>
        <a:p>
          <a:pPr lvl="0"/>
          <a:endParaRPr lang="en-US" sz="1400" b="1" u="sng">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Comments</a:t>
          </a:r>
        </a:p>
        <a:p>
          <a:pPr marL="182880" lvl="1"/>
          <a:r>
            <a:rPr lang="en-US" sz="1200" b="0">
              <a:solidFill>
                <a:sysClr val="windowText" lastClr="000000"/>
              </a:solidFill>
              <a:effectLst/>
              <a:latin typeface="+mn-lt"/>
              <a:ea typeface="+mn-ea"/>
              <a:cs typeface="+mn-cs"/>
            </a:rPr>
            <a:t>Use the yellow cells in the Comment Section to provide narrative and clarifications.</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14</xdr:col>
      <xdr:colOff>0</xdr:colOff>
      <xdr:row>7</xdr:row>
      <xdr:rowOff>0</xdr:rowOff>
    </xdr:from>
    <xdr:to>
      <xdr:col>19</xdr:col>
      <xdr:colOff>615724</xdr:colOff>
      <xdr:row>26</xdr:row>
      <xdr:rowOff>0</xdr:rowOff>
    </xdr:to>
    <xdr:sp macro="" textlink="">
      <xdr:nvSpPr>
        <xdr:cNvPr id="2" name="Rectangle 1">
          <a:extLst>
            <a:ext uri="{FF2B5EF4-FFF2-40B4-BE49-F238E27FC236}">
              <a16:creationId xmlns:a16="http://schemas.microsoft.com/office/drawing/2014/main" id="{688B99A6-F2B5-4264-BCDA-D63C45EE3EF9}"/>
            </a:ext>
          </a:extLst>
        </xdr:cNvPr>
        <xdr:cNvSpPr/>
      </xdr:nvSpPr>
      <xdr:spPr>
        <a:xfrm>
          <a:off x="17535525" y="1476375"/>
          <a:ext cx="7426099" cy="4572000"/>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8 Instructions</a:t>
          </a:r>
        </a:p>
        <a:p>
          <a:r>
            <a:rPr lang="en-US" sz="1400" b="1" u="sng">
              <a:solidFill>
                <a:schemeClr val="tx2"/>
              </a:solidFill>
              <a:effectLst/>
              <a:latin typeface="+mn-lt"/>
              <a:ea typeface="+mn-ea"/>
              <a:cs typeface="+mn-cs"/>
            </a:rPr>
            <a:t>Purpose</a:t>
          </a:r>
        </a:p>
        <a:p>
          <a:pPr marL="182880">
            <a:lnSpc>
              <a:spcPct val="108000"/>
            </a:lnSpc>
          </a:pPr>
          <a:r>
            <a:rPr lang="en-US" sz="1200">
              <a:solidFill>
                <a:sysClr val="windowText" lastClr="000000"/>
              </a:solidFill>
              <a:effectLst/>
              <a:latin typeface="+mn-lt"/>
              <a:ea typeface="+mn-ea"/>
              <a:cs typeface="+mn-cs"/>
            </a:rPr>
            <a:t>The purpose of this template is to collect information about</a:t>
          </a:r>
          <a:r>
            <a:rPr lang="en-US" sz="1200" baseline="0">
              <a:solidFill>
                <a:sysClr val="windowText" lastClr="000000"/>
              </a:solidFill>
              <a:effectLst/>
              <a:latin typeface="+mn-lt"/>
              <a:ea typeface="+mn-ea"/>
              <a:cs typeface="+mn-cs"/>
            </a:rPr>
            <a:t> Cost-Share Reduction (CSR) and Advance Premium Tax Credit (APTC) experience.</a:t>
          </a:r>
        </a:p>
        <a:p>
          <a:pPr>
            <a:lnSpc>
              <a:spcPct val="108000"/>
            </a:lnSpc>
          </a:pPr>
          <a:r>
            <a:rPr lang="en-US" sz="1200">
              <a:solidFill>
                <a:sysClr val="windowText" lastClr="000000"/>
              </a:solidFill>
              <a:effectLst/>
              <a:latin typeface="+mn-lt"/>
              <a:ea typeface="+mn-ea"/>
              <a:cs typeface="+mn-cs"/>
            </a:rPr>
            <a:t>				</a:t>
          </a:r>
        </a:p>
        <a:p>
          <a:pPr lvl="0"/>
          <a:r>
            <a:rPr lang="en-US" sz="1400" b="1" u="sng">
              <a:solidFill>
                <a:schemeClr val="tx2"/>
              </a:solidFill>
              <a:effectLst/>
              <a:latin typeface="+mn-lt"/>
              <a:ea typeface="+mn-ea"/>
              <a:cs typeface="+mn-cs"/>
            </a:rPr>
            <a:t>Table</a:t>
          </a:r>
        </a:p>
        <a:p>
          <a:pPr marL="182880" lvl="1"/>
          <a:r>
            <a:rPr lang="en-US" sz="1200" b="0" u="none">
              <a:solidFill>
                <a:sysClr val="windowText" lastClr="000000"/>
              </a:solidFill>
              <a:effectLst/>
              <a:latin typeface="+mn-lt"/>
              <a:ea typeface="+mn-ea"/>
              <a:cs typeface="+mn-cs"/>
            </a:rPr>
            <a:t>a.</a:t>
          </a:r>
          <a:r>
            <a:rPr lang="en-US" sz="1200" b="0" u="none" baseline="0">
              <a:solidFill>
                <a:sysClr val="windowText" lastClr="000000"/>
              </a:solidFill>
              <a:effectLst/>
              <a:latin typeface="+mn-lt"/>
              <a:ea typeface="+mn-ea"/>
              <a:cs typeface="+mn-cs"/>
            </a:rPr>
            <a:t> Enter information in the yellow cells. Other cells are either calculated or do not take user inputs.</a:t>
          </a:r>
        </a:p>
        <a:p>
          <a:pPr marL="182880" lvl="1"/>
          <a:r>
            <a:rPr lang="en-US" sz="1200">
              <a:solidFill>
                <a:sysClr val="windowText" lastClr="000000"/>
              </a:solidFill>
              <a:effectLst/>
              <a:latin typeface="+mn-lt"/>
              <a:ea typeface="+mn-ea"/>
              <a:cs typeface="+mn-cs"/>
            </a:rPr>
            <a:t>b.</a:t>
          </a:r>
          <a:r>
            <a:rPr lang="en-US" sz="1200" baseline="0">
              <a:solidFill>
                <a:sysClr val="windowText" lastClr="000000"/>
              </a:solidFill>
              <a:effectLst/>
              <a:latin typeface="+mn-lt"/>
              <a:ea typeface="+mn-ea"/>
              <a:cs typeface="+mn-cs"/>
            </a:rPr>
            <a:t> All entries should be consistent with URRT information from the PY2026 rate filing, except the entries in the 'CSR Silver Load (Projected)' column which should reflect the PY2024 projection.</a:t>
          </a:r>
        </a:p>
        <a:p>
          <a:pPr marL="182880" lvl="1"/>
          <a:r>
            <a:rPr lang="en-US" sz="1200" baseline="0">
              <a:solidFill>
                <a:sysClr val="windowText" lastClr="000000"/>
              </a:solidFill>
              <a:effectLst/>
              <a:latin typeface="+mn-lt"/>
              <a:ea typeface="+mn-ea"/>
              <a:cs typeface="+mn-cs"/>
            </a:rPr>
            <a:t>c. Include a row for each Plan + CSR Plan Variant type in the table. Add more rows to the table as needed so each Plan + CSR Plan Variant type with PY2024 experience is listed.</a:t>
          </a:r>
        </a:p>
        <a:p>
          <a:pPr marL="182880" lvl="1"/>
          <a:r>
            <a:rPr lang="en-US" sz="1200" baseline="0">
              <a:solidFill>
                <a:sysClr val="windowText" lastClr="000000"/>
              </a:solidFill>
              <a:effectLst/>
              <a:latin typeface="+mn-lt"/>
              <a:ea typeface="+mn-ea"/>
              <a:cs typeface="+mn-cs"/>
            </a:rPr>
            <a:t>d. Ensure plan and aggregate experience reconcile with URRT Worksheet 2, Section 2. Otherwise, explain the discrepancy in the Comment section.</a:t>
          </a:r>
        </a:p>
        <a:p>
          <a:pPr marL="182880" lvl="1"/>
          <a:r>
            <a:rPr lang="en-US" sz="1200" baseline="0">
              <a:solidFill>
                <a:sysClr val="windowText" lastClr="000000"/>
              </a:solidFill>
              <a:effectLst/>
              <a:latin typeface="+mn-lt"/>
              <a:ea typeface="+mn-ea"/>
              <a:cs typeface="+mn-cs"/>
            </a:rPr>
            <a:t>e. Enter the total CSR claims that the federal government would be responsible for if CSRs were funded in the CSR Paid Claims column. If the amounts entered are estimates, use your best estimate and describe the data, assumptions, models, and methodologies used in the Comment section.</a:t>
          </a:r>
        </a:p>
        <a:p>
          <a:pPr marL="182880" lvl="1"/>
          <a:r>
            <a:rPr lang="en-US" sz="1200" baseline="0">
              <a:solidFill>
                <a:sysClr val="windowText" lastClr="000000"/>
              </a:solidFill>
              <a:effectLst/>
              <a:latin typeface="+mn-lt"/>
              <a:ea typeface="+mn-ea"/>
              <a:cs typeface="+mn-cs"/>
            </a:rPr>
            <a:t>f. Enter the total premium the company receives via APTC payments.</a:t>
          </a:r>
        </a:p>
        <a:p>
          <a:pPr marL="182880" lvl="1"/>
          <a:r>
            <a:rPr lang="en-US" sz="1200" baseline="0">
              <a:solidFill>
                <a:sysClr val="windowText" lastClr="000000"/>
              </a:solidFill>
              <a:effectLst/>
              <a:latin typeface="+mn-lt"/>
              <a:ea typeface="+mn-ea"/>
              <a:cs typeface="+mn-cs"/>
            </a:rPr>
            <a:t>g. Add or remove rows from table to capture all plans.</a:t>
          </a:r>
        </a:p>
        <a:p>
          <a:pPr lvl="0"/>
          <a:endParaRPr lang="en-US" sz="1400" b="1" u="sng">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Comments</a:t>
          </a:r>
        </a:p>
        <a:p>
          <a:pPr marL="182880" lvl="1"/>
          <a:r>
            <a:rPr lang="en-US" sz="1200" b="0">
              <a:solidFill>
                <a:sysClr val="windowText" lastClr="000000"/>
              </a:solidFill>
              <a:effectLst/>
              <a:latin typeface="+mn-lt"/>
              <a:ea typeface="+mn-ea"/>
              <a:cs typeface="+mn-cs"/>
            </a:rPr>
            <a:t>Use the yellow cells in the Comment Section to provide narrative and clarifications.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8</xdr:row>
      <xdr:rowOff>0</xdr:rowOff>
    </xdr:from>
    <xdr:to>
      <xdr:col>14</xdr:col>
      <xdr:colOff>0</xdr:colOff>
      <xdr:row>32</xdr:row>
      <xdr:rowOff>142875</xdr:rowOff>
    </xdr:to>
    <xdr:sp macro="" textlink="">
      <xdr:nvSpPr>
        <xdr:cNvPr id="2" name="Rectangle 1">
          <a:extLst>
            <a:ext uri="{FF2B5EF4-FFF2-40B4-BE49-F238E27FC236}">
              <a16:creationId xmlns:a16="http://schemas.microsoft.com/office/drawing/2014/main" id="{5C9EDAC8-9244-40CA-B90D-69B4CDE55D7B}"/>
            </a:ext>
          </a:extLst>
        </xdr:cNvPr>
        <xdr:cNvSpPr/>
      </xdr:nvSpPr>
      <xdr:spPr>
        <a:xfrm>
          <a:off x="15466219" y="1857375"/>
          <a:ext cx="8322469" cy="5286375"/>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9 Instructions</a:t>
          </a:r>
        </a:p>
        <a:p>
          <a:r>
            <a:rPr lang="en-US" sz="1400" b="1" u="sng">
              <a:solidFill>
                <a:schemeClr val="tx2"/>
              </a:solidFill>
              <a:effectLst/>
              <a:latin typeface="+mn-lt"/>
              <a:ea typeface="+mn-ea"/>
              <a:cs typeface="+mn-cs"/>
            </a:rPr>
            <a:t>Purpose</a:t>
          </a:r>
        </a:p>
        <a:p>
          <a:pPr marL="182880">
            <a:lnSpc>
              <a:spcPct val="108000"/>
            </a:lnSpc>
          </a:pPr>
          <a:r>
            <a:rPr lang="en-US" sz="1200">
              <a:solidFill>
                <a:sysClr val="windowText" lastClr="000000"/>
              </a:solidFill>
              <a:effectLst/>
              <a:latin typeface="+mn-lt"/>
              <a:ea typeface="+mn-ea"/>
              <a:cs typeface="+mn-cs"/>
            </a:rPr>
            <a:t>The purpose of this template is to collect information about</a:t>
          </a:r>
          <a:r>
            <a:rPr lang="en-US" sz="1200" baseline="0">
              <a:solidFill>
                <a:sysClr val="windowText" lastClr="000000"/>
              </a:solidFill>
              <a:effectLst/>
              <a:latin typeface="+mn-lt"/>
              <a:ea typeface="+mn-ea"/>
              <a:cs typeface="+mn-cs"/>
            </a:rPr>
            <a:t> AV metal value and EHB paid-to-allowed amounts (i.e., AV Pricing Values).</a:t>
          </a:r>
        </a:p>
        <a:p>
          <a:pPr>
            <a:lnSpc>
              <a:spcPct val="108000"/>
            </a:lnSpc>
          </a:pPr>
          <a:r>
            <a:rPr lang="en-US" sz="1200">
              <a:solidFill>
                <a:sysClr val="windowText" lastClr="000000"/>
              </a:solidFill>
              <a:effectLst/>
              <a:latin typeface="+mn-lt"/>
              <a:ea typeface="+mn-ea"/>
              <a:cs typeface="+mn-cs"/>
            </a:rPr>
            <a:t>				</a:t>
          </a:r>
        </a:p>
        <a:p>
          <a:pPr lvl="0"/>
          <a:r>
            <a:rPr lang="en-US" sz="1400" b="1" u="sng">
              <a:solidFill>
                <a:schemeClr val="tx2"/>
              </a:solidFill>
              <a:effectLst/>
              <a:latin typeface="+mn-lt"/>
              <a:ea typeface="+mn-ea"/>
              <a:cs typeface="+mn-cs"/>
            </a:rPr>
            <a:t>Table</a:t>
          </a:r>
        </a:p>
        <a:p>
          <a:pPr marL="182880" lvl="1"/>
          <a:r>
            <a:rPr lang="en-US" sz="1200" b="0" u="none">
              <a:solidFill>
                <a:sysClr val="windowText" lastClr="000000"/>
              </a:solidFill>
              <a:effectLst/>
              <a:latin typeface="+mn-lt"/>
              <a:ea typeface="+mn-ea"/>
              <a:cs typeface="+mn-cs"/>
            </a:rPr>
            <a:t>a.</a:t>
          </a:r>
          <a:r>
            <a:rPr lang="en-US" sz="1200" b="0" u="none" baseline="0">
              <a:solidFill>
                <a:sysClr val="windowText" lastClr="000000"/>
              </a:solidFill>
              <a:effectLst/>
              <a:latin typeface="+mn-lt"/>
              <a:ea typeface="+mn-ea"/>
              <a:cs typeface="+mn-cs"/>
            </a:rPr>
            <a:t> Enter information in the yellow cells. Other cells are either calculated or do not take user inputs.</a:t>
          </a:r>
        </a:p>
        <a:p>
          <a:pPr marL="182880" lvl="1"/>
          <a:r>
            <a:rPr lang="en-US" sz="1200">
              <a:solidFill>
                <a:sysClr val="windowText" lastClr="000000"/>
              </a:solidFill>
              <a:effectLst/>
              <a:latin typeface="+mn-lt"/>
              <a:ea typeface="+mn-ea"/>
              <a:cs typeface="+mn-cs"/>
            </a:rPr>
            <a:t>b.</a:t>
          </a:r>
          <a:r>
            <a:rPr lang="en-US" sz="1200" baseline="0">
              <a:solidFill>
                <a:sysClr val="windowText" lastClr="000000"/>
              </a:solidFill>
              <a:effectLst/>
              <a:latin typeface="+mn-lt"/>
              <a:ea typeface="+mn-ea"/>
              <a:cs typeface="+mn-cs"/>
            </a:rPr>
            <a:t> All entries should be consistent with URRT information from the PY2026 rate filing.</a:t>
          </a:r>
        </a:p>
        <a:p>
          <a:pPr marL="182880" lvl="1"/>
          <a:r>
            <a:rPr lang="en-US" sz="1200" baseline="0">
              <a:solidFill>
                <a:sysClr val="windowText" lastClr="000000"/>
              </a:solidFill>
              <a:effectLst/>
              <a:latin typeface="+mn-lt"/>
              <a:ea typeface="+mn-ea"/>
              <a:cs typeface="+mn-cs"/>
            </a:rPr>
            <a:t>c. Include a row for each Plan. Add more rows to the table as needed so each Plan with PY2024 experience is listed.</a:t>
          </a:r>
        </a:p>
        <a:p>
          <a:pPr marL="182880" lvl="1"/>
          <a:r>
            <a:rPr lang="en-US" sz="1200" baseline="0">
              <a:solidFill>
                <a:sysClr val="windowText" lastClr="000000"/>
              </a:solidFill>
              <a:effectLst/>
              <a:latin typeface="+mn-lt"/>
              <a:ea typeface="+mn-ea"/>
              <a:cs typeface="+mn-cs"/>
            </a:rPr>
            <a:t>d. Requesting Expanded AV Pricing Value Range: Select "Yes" if you are requesting a ±3% AV Pricing Value range; see rate filing checklist item 11(a) and WAC 284-43-6810(3). Otherwise, select "No."</a:t>
          </a:r>
        </a:p>
        <a:p>
          <a:pPr marL="182880" lvl="1"/>
          <a:r>
            <a:rPr lang="en-US" sz="1200" baseline="0">
              <a:solidFill>
                <a:sysClr val="windowText" lastClr="000000"/>
              </a:solidFill>
              <a:effectLst/>
              <a:latin typeface="+mn-lt"/>
              <a:ea typeface="+mn-ea"/>
              <a:cs typeface="+mn-cs"/>
            </a:rPr>
            <a:t>e. AV Metal Value: Enter the AV Metal Value used to categorize the plan into its metal level. Match the value in URRT Worksheet 2, Section I.</a:t>
          </a:r>
        </a:p>
        <a:p>
          <a:pPr marL="182880" lvl="1"/>
          <a:r>
            <a:rPr lang="en-US" sz="1200" baseline="0">
              <a:solidFill>
                <a:sysClr val="windowText" lastClr="000000"/>
              </a:solidFill>
              <a:effectLst/>
              <a:latin typeface="+mn-lt"/>
              <a:ea typeface="+mn-ea"/>
              <a:cs typeface="+mn-cs"/>
            </a:rPr>
            <a:t>f. AV Pricing Value: Enter the plan's projected EHB paid-to-allowed claims ratio used to develop the AV and Cost Sharing Design of Plan factor for URRT Worksheet 2, Section 3. This value must be within 2% of the plan's AV Metal Value, or if the plan meets certain criteria (see checklist item 11a and WAC 284-43-6810(3)), the value must be within 3% of the plan's AV Metal Value.</a:t>
          </a:r>
        </a:p>
        <a:p>
          <a:pPr marL="182880" lvl="1"/>
          <a:r>
            <a:rPr lang="en-US" sz="1200" baseline="0">
              <a:solidFill>
                <a:sysClr val="windowText" lastClr="000000"/>
              </a:solidFill>
              <a:effectLst/>
              <a:latin typeface="+mn-lt"/>
              <a:ea typeface="+mn-ea"/>
              <a:cs typeface="+mn-cs"/>
            </a:rPr>
            <a:t>g. Induced Demand Factor (IDF): Enter the IDF factor that is consistent with IDF used in the risk adjustment transfer formula for the metal level.</a:t>
          </a:r>
        </a:p>
        <a:p>
          <a:pPr marL="182880" lvl="1"/>
          <a:r>
            <a:rPr lang="en-US" sz="1200" baseline="0">
              <a:solidFill>
                <a:sysClr val="windowText" lastClr="000000"/>
              </a:solidFill>
              <a:effectLst/>
              <a:latin typeface="+mn-lt"/>
              <a:ea typeface="+mn-ea"/>
              <a:cs typeface="+mn-cs"/>
            </a:rPr>
            <a:t>h. CSR Silver Load: Enter the CSR silver load. This should be 1.435 per new rule.</a:t>
          </a:r>
        </a:p>
        <a:p>
          <a:pPr marL="182880" lvl="1"/>
          <a:endParaRPr lang="en-US" sz="600" baseline="0">
            <a:solidFill>
              <a:sysClr val="windowText" lastClr="000000"/>
            </a:solidFill>
            <a:effectLst/>
            <a:latin typeface="+mn-lt"/>
            <a:ea typeface="+mn-ea"/>
            <a:cs typeface="+mn-cs"/>
          </a:endParaRPr>
        </a:p>
        <a:p>
          <a:pPr marL="182880" lvl="1"/>
          <a:r>
            <a:rPr lang="en-US" sz="1200" baseline="0">
              <a:solidFill>
                <a:sysClr val="windowText" lastClr="000000"/>
              </a:solidFill>
              <a:effectLst/>
              <a:latin typeface="+mn-lt"/>
              <a:ea typeface="+mn-ea"/>
              <a:cs typeface="+mn-cs"/>
            </a:rPr>
            <a:t>Note: "Check" cells are conditionally formatted, they will turn red if entered values do not meet constraints. See the new rule for constraint details.</a:t>
          </a:r>
        </a:p>
        <a:p>
          <a:pPr marL="182880" lvl="1"/>
          <a:r>
            <a:rPr lang="en-US" sz="1200" baseline="0">
              <a:solidFill>
                <a:sysClr val="windowText" lastClr="000000"/>
              </a:solidFill>
              <a:effectLst/>
              <a:latin typeface="+mn-lt"/>
              <a:ea typeface="+mn-ea"/>
              <a:cs typeface="+mn-cs"/>
            </a:rPr>
            <a:t> </a:t>
          </a:r>
          <a:endParaRPr lang="en-US" sz="1400" b="1" u="sng">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Comments</a:t>
          </a:r>
        </a:p>
        <a:p>
          <a:pPr marL="182880" lvl="1"/>
          <a:r>
            <a:rPr lang="en-US" sz="1200" b="0">
              <a:solidFill>
                <a:sysClr val="windowText" lastClr="000000"/>
              </a:solidFill>
              <a:effectLst/>
              <a:latin typeface="+mn-lt"/>
              <a:ea typeface="+mn-ea"/>
              <a:cs typeface="+mn-cs"/>
            </a:rPr>
            <a:t>Use the yellow cells in the Comments section to provide narrative and clarifications.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13</xdr:col>
      <xdr:colOff>0</xdr:colOff>
      <xdr:row>9</xdr:row>
      <xdr:rowOff>0</xdr:rowOff>
    </xdr:from>
    <xdr:to>
      <xdr:col>14</xdr:col>
      <xdr:colOff>0</xdr:colOff>
      <xdr:row>33</xdr:row>
      <xdr:rowOff>142875</xdr:rowOff>
    </xdr:to>
    <xdr:sp macro="" textlink="">
      <xdr:nvSpPr>
        <xdr:cNvPr id="2" name="Rectangle 1">
          <a:extLst>
            <a:ext uri="{FF2B5EF4-FFF2-40B4-BE49-F238E27FC236}">
              <a16:creationId xmlns:a16="http://schemas.microsoft.com/office/drawing/2014/main" id="{D792613B-6172-46DC-82EE-546532DB634B}"/>
            </a:ext>
          </a:extLst>
        </xdr:cNvPr>
        <xdr:cNvSpPr/>
      </xdr:nvSpPr>
      <xdr:spPr>
        <a:xfrm>
          <a:off x="13582650" y="1857375"/>
          <a:ext cx="8324850" cy="6096000"/>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9 Instructions</a:t>
          </a:r>
        </a:p>
        <a:p>
          <a:r>
            <a:rPr lang="en-US" sz="1400" b="1" u="sng">
              <a:solidFill>
                <a:schemeClr val="tx2"/>
              </a:solidFill>
              <a:effectLst/>
              <a:latin typeface="+mn-lt"/>
              <a:ea typeface="+mn-ea"/>
              <a:cs typeface="+mn-cs"/>
            </a:rPr>
            <a:t>Purpose</a:t>
          </a:r>
        </a:p>
        <a:p>
          <a:pPr marL="182880">
            <a:lnSpc>
              <a:spcPct val="108000"/>
            </a:lnSpc>
          </a:pPr>
          <a:r>
            <a:rPr lang="en-US" sz="1200">
              <a:solidFill>
                <a:sysClr val="windowText" lastClr="000000"/>
              </a:solidFill>
              <a:effectLst/>
              <a:latin typeface="+mn-lt"/>
              <a:ea typeface="+mn-ea"/>
              <a:cs typeface="+mn-cs"/>
            </a:rPr>
            <a:t>The purpose of this template is to collect information about</a:t>
          </a:r>
          <a:r>
            <a:rPr lang="en-US" sz="1200" baseline="0">
              <a:solidFill>
                <a:sysClr val="windowText" lastClr="000000"/>
              </a:solidFill>
              <a:effectLst/>
              <a:latin typeface="+mn-lt"/>
              <a:ea typeface="+mn-ea"/>
              <a:cs typeface="+mn-cs"/>
            </a:rPr>
            <a:t> AV metal value and EHB paid-to-allowed amounts (i.e., AV Pricing Values).</a:t>
          </a:r>
        </a:p>
        <a:p>
          <a:pPr>
            <a:lnSpc>
              <a:spcPct val="108000"/>
            </a:lnSpc>
          </a:pPr>
          <a:r>
            <a:rPr lang="en-US" sz="1200">
              <a:solidFill>
                <a:sysClr val="windowText" lastClr="000000"/>
              </a:solidFill>
              <a:effectLst/>
              <a:latin typeface="+mn-lt"/>
              <a:ea typeface="+mn-ea"/>
              <a:cs typeface="+mn-cs"/>
            </a:rPr>
            <a:t>				</a:t>
          </a:r>
        </a:p>
        <a:p>
          <a:pPr lvl="0"/>
          <a:r>
            <a:rPr lang="en-US" sz="1400" b="1" u="sng">
              <a:solidFill>
                <a:schemeClr val="tx2"/>
              </a:solidFill>
              <a:effectLst/>
              <a:latin typeface="+mn-lt"/>
              <a:ea typeface="+mn-ea"/>
              <a:cs typeface="+mn-cs"/>
            </a:rPr>
            <a:t>Table</a:t>
          </a:r>
        </a:p>
        <a:p>
          <a:pPr marL="182880" lvl="1"/>
          <a:r>
            <a:rPr lang="en-US" sz="1200" b="0" u="none">
              <a:solidFill>
                <a:sysClr val="windowText" lastClr="000000"/>
              </a:solidFill>
              <a:effectLst/>
              <a:latin typeface="+mn-lt"/>
              <a:ea typeface="+mn-ea"/>
              <a:cs typeface="+mn-cs"/>
            </a:rPr>
            <a:t>a.</a:t>
          </a:r>
          <a:r>
            <a:rPr lang="en-US" sz="1200" b="0" u="none" baseline="0">
              <a:solidFill>
                <a:sysClr val="windowText" lastClr="000000"/>
              </a:solidFill>
              <a:effectLst/>
              <a:latin typeface="+mn-lt"/>
              <a:ea typeface="+mn-ea"/>
              <a:cs typeface="+mn-cs"/>
            </a:rPr>
            <a:t> Enter information in the yellow cells. Other cells are either calculated or do not take user inputs.</a:t>
          </a:r>
        </a:p>
        <a:p>
          <a:pPr marL="182880" lvl="1"/>
          <a:r>
            <a:rPr lang="en-US" sz="1200">
              <a:solidFill>
                <a:sysClr val="windowText" lastClr="000000"/>
              </a:solidFill>
              <a:effectLst/>
              <a:latin typeface="+mn-lt"/>
              <a:ea typeface="+mn-ea"/>
              <a:cs typeface="+mn-cs"/>
            </a:rPr>
            <a:t>b.</a:t>
          </a:r>
          <a:r>
            <a:rPr lang="en-US" sz="1200" baseline="0">
              <a:solidFill>
                <a:sysClr val="windowText" lastClr="000000"/>
              </a:solidFill>
              <a:effectLst/>
              <a:latin typeface="+mn-lt"/>
              <a:ea typeface="+mn-ea"/>
              <a:cs typeface="+mn-cs"/>
            </a:rPr>
            <a:t> All entries should be consistent with URRT information from the PY2026 rate filing.</a:t>
          </a:r>
        </a:p>
        <a:p>
          <a:pPr marL="182880" lvl="1"/>
          <a:r>
            <a:rPr lang="en-US" sz="1200" baseline="0">
              <a:solidFill>
                <a:sysClr val="windowText" lastClr="000000"/>
              </a:solidFill>
              <a:effectLst/>
              <a:latin typeface="+mn-lt"/>
              <a:ea typeface="+mn-ea"/>
              <a:cs typeface="+mn-cs"/>
            </a:rPr>
            <a:t>c. Include a row for each Plan. Add more rows to the table as needed so each Plan with PY2024 experience is listed.</a:t>
          </a:r>
        </a:p>
        <a:p>
          <a:pPr marL="182880" lvl="1"/>
          <a:r>
            <a:rPr lang="en-US" sz="1200" baseline="0">
              <a:solidFill>
                <a:sysClr val="windowText" lastClr="000000"/>
              </a:solidFill>
              <a:effectLst/>
              <a:latin typeface="+mn-lt"/>
              <a:ea typeface="+mn-ea"/>
              <a:cs typeface="+mn-cs"/>
            </a:rPr>
            <a:t>d. Requesting Expanded AV Pricing Value Range: Select "Yes" if you are requesting a ±3% AV Pricing Value range; see rate filing checklist item 11(a) and WAC 284-43-6810(3). Otherwise, select "No."</a:t>
          </a:r>
        </a:p>
        <a:p>
          <a:pPr marL="182880" lvl="1"/>
          <a:r>
            <a:rPr lang="en-US" sz="1200" baseline="0">
              <a:solidFill>
                <a:sysClr val="windowText" lastClr="000000"/>
              </a:solidFill>
              <a:effectLst/>
              <a:latin typeface="+mn-lt"/>
              <a:ea typeface="+mn-ea"/>
              <a:cs typeface="+mn-cs"/>
            </a:rPr>
            <a:t>e. AV Metal Value: Enter the AV Metal Value used to categorize the plan into its metal level. Match the value in URRT Worksheet 2, Section I.</a:t>
          </a:r>
        </a:p>
        <a:p>
          <a:pPr marL="182880" lvl="1"/>
          <a:r>
            <a:rPr lang="en-US" sz="1200" baseline="0">
              <a:solidFill>
                <a:sysClr val="windowText" lastClr="000000"/>
              </a:solidFill>
              <a:effectLst/>
              <a:latin typeface="+mn-lt"/>
              <a:ea typeface="+mn-ea"/>
              <a:cs typeface="+mn-cs"/>
            </a:rPr>
            <a:t>f. AV Pricing Value: Enter the plan's projected EHB paid-to-allowed claims ratio used to develop the AV and Cost Sharing Design of Plan factor for URRT Worksheet 2, Section 3. This value must be within 2% of the plan's AV Metal Value, or if the plan meets certain criteria (see checklist item 11a and WAC 284-43-6810(3)), the value must be within 3% of the plan's AV Metal Value.</a:t>
          </a:r>
        </a:p>
        <a:p>
          <a:pPr marL="182880" lvl="1"/>
          <a:r>
            <a:rPr lang="en-US" sz="1200" baseline="0">
              <a:solidFill>
                <a:sysClr val="windowText" lastClr="000000"/>
              </a:solidFill>
              <a:effectLst/>
              <a:latin typeface="+mn-lt"/>
              <a:ea typeface="+mn-ea"/>
              <a:cs typeface="+mn-cs"/>
            </a:rPr>
            <a:t>g. Induced Demand Factor (IDF): Enter the IDF factor that is consistent with IDF used in the risk adjustment transfer formula for the metal level.</a:t>
          </a:r>
        </a:p>
        <a:p>
          <a:pPr marL="182880" lvl="1"/>
          <a:r>
            <a:rPr lang="en-US" sz="1200" baseline="0">
              <a:solidFill>
                <a:sysClr val="windowText" lastClr="000000"/>
              </a:solidFill>
              <a:effectLst/>
              <a:latin typeface="+mn-lt"/>
              <a:ea typeface="+mn-ea"/>
              <a:cs typeface="+mn-cs"/>
            </a:rPr>
            <a:t>h. CSR Silver Load: Enter the CSR silver load. This should be 1.435 per new rule.</a:t>
          </a:r>
        </a:p>
        <a:p>
          <a:pPr marL="182880" lvl="1"/>
          <a:endParaRPr lang="en-US" sz="600" baseline="0">
            <a:solidFill>
              <a:sysClr val="windowText" lastClr="000000"/>
            </a:solidFill>
            <a:effectLst/>
            <a:latin typeface="+mn-lt"/>
            <a:ea typeface="+mn-ea"/>
            <a:cs typeface="+mn-cs"/>
          </a:endParaRPr>
        </a:p>
        <a:p>
          <a:pPr marL="182880" lvl="1"/>
          <a:r>
            <a:rPr lang="en-US" sz="1200" baseline="0">
              <a:solidFill>
                <a:sysClr val="windowText" lastClr="000000"/>
              </a:solidFill>
              <a:effectLst/>
              <a:latin typeface="+mn-lt"/>
              <a:ea typeface="+mn-ea"/>
              <a:cs typeface="+mn-cs"/>
            </a:rPr>
            <a:t>Note: "Check" cells are conditionally formatted, they will turn red if entered values do not meet constraints. See the new rule for constraint details.</a:t>
          </a:r>
        </a:p>
        <a:p>
          <a:pPr marL="182880" lvl="1"/>
          <a:r>
            <a:rPr lang="en-US" sz="1200" baseline="0">
              <a:solidFill>
                <a:sysClr val="windowText" lastClr="000000"/>
              </a:solidFill>
              <a:effectLst/>
              <a:latin typeface="+mn-lt"/>
              <a:ea typeface="+mn-ea"/>
              <a:cs typeface="+mn-cs"/>
            </a:rPr>
            <a:t> </a:t>
          </a:r>
          <a:endParaRPr lang="en-US" sz="1400" b="1" u="sng">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Comments</a:t>
          </a:r>
        </a:p>
        <a:p>
          <a:pPr marL="182880" lvl="1"/>
          <a:r>
            <a:rPr lang="en-US" sz="1200" b="0">
              <a:solidFill>
                <a:sysClr val="windowText" lastClr="000000"/>
              </a:solidFill>
              <a:effectLst/>
              <a:latin typeface="+mn-lt"/>
              <a:ea typeface="+mn-ea"/>
              <a:cs typeface="+mn-cs"/>
            </a:rPr>
            <a:t>Use the yellow cells in the Comments section to provide narrative and clarifications.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14</xdr:col>
      <xdr:colOff>0</xdr:colOff>
      <xdr:row>1</xdr:row>
      <xdr:rowOff>0</xdr:rowOff>
    </xdr:from>
    <xdr:to>
      <xdr:col>19</xdr:col>
      <xdr:colOff>797718</xdr:colOff>
      <xdr:row>6</xdr:row>
      <xdr:rowOff>119062</xdr:rowOff>
    </xdr:to>
    <xdr:sp macro="" textlink="">
      <xdr:nvSpPr>
        <xdr:cNvPr id="2" name="Rectangle 1">
          <a:extLst>
            <a:ext uri="{FF2B5EF4-FFF2-40B4-BE49-F238E27FC236}">
              <a16:creationId xmlns:a16="http://schemas.microsoft.com/office/drawing/2014/main" id="{ADFD6E51-3350-427F-ABC0-CB5EF7947406}"/>
            </a:ext>
          </a:extLst>
        </xdr:cNvPr>
        <xdr:cNvSpPr/>
      </xdr:nvSpPr>
      <xdr:spPr>
        <a:xfrm>
          <a:off x="17180719" y="333375"/>
          <a:ext cx="4774405" cy="1262062"/>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10 Instructions</a:t>
          </a:r>
        </a:p>
        <a:p>
          <a:pPr marL="182880" algn="l">
            <a:lnSpc>
              <a:spcPct val="108000"/>
            </a:lnSpc>
          </a:pPr>
          <a:r>
            <a:rPr lang="en-US" sz="1200" b="0" i="0" u="none" strike="noStrike" kern="1200">
              <a:solidFill>
                <a:sysClr val="windowText" lastClr="000000"/>
              </a:solidFill>
              <a:effectLst/>
              <a:latin typeface="+mn-lt"/>
              <a:ea typeface="+mn-ea"/>
              <a:cs typeface="+mn-cs"/>
            </a:rPr>
            <a:t>Input</a:t>
          </a:r>
          <a:r>
            <a:rPr lang="en-US" sz="1200" i="0">
              <a:solidFill>
                <a:sysClr val="windowText" lastClr="000000"/>
              </a:solidFill>
              <a:effectLst/>
              <a:latin typeface="+mn-lt"/>
              <a:ea typeface="+mn-ea"/>
              <a:cs typeface="+mn-cs"/>
            </a:rPr>
            <a:t> requested data in the yellow cells, based on actual experience or projections, as appropriate, for this Washington State market</a:t>
          </a:r>
          <a:r>
            <a:rPr lang="en-US" sz="1200" i="0" baseline="0">
              <a:solidFill>
                <a:sysClr val="windowText" lastClr="000000"/>
              </a:solidFill>
              <a:effectLst/>
              <a:latin typeface="+mn-lt"/>
              <a:ea typeface="+mn-ea"/>
              <a:cs typeface="+mn-cs"/>
            </a:rPr>
            <a:t>. </a:t>
          </a:r>
        </a:p>
        <a:p>
          <a:pPr marL="182880" algn="l">
            <a:lnSpc>
              <a:spcPct val="108000"/>
            </a:lnSpc>
          </a:pPr>
          <a:endParaRPr lang="en-US" sz="600" i="0" baseline="0">
            <a:solidFill>
              <a:sysClr val="windowText" lastClr="000000"/>
            </a:solidFill>
            <a:effectLst/>
            <a:latin typeface="+mn-lt"/>
            <a:ea typeface="+mn-ea"/>
            <a:cs typeface="+mn-cs"/>
          </a:endParaRPr>
        </a:p>
        <a:p>
          <a:pPr marL="182880" algn="l">
            <a:lnSpc>
              <a:spcPct val="108000"/>
            </a:lnSpc>
          </a:pPr>
          <a:r>
            <a:rPr lang="en-US" sz="1200" b="0" i="0" kern="1200" baseline="0">
              <a:solidFill>
                <a:sysClr val="windowText" lastClr="000000"/>
              </a:solidFill>
              <a:effectLst/>
              <a:latin typeface="+mn-lt"/>
              <a:ea typeface="+mn-ea"/>
              <a:cs typeface="+mn-cs"/>
            </a:rPr>
            <a:t>Add notes, as needed, to Comments at the bottom of this worksheet.</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13</xdr:col>
      <xdr:colOff>631030</xdr:colOff>
      <xdr:row>0</xdr:row>
      <xdr:rowOff>297659</xdr:rowOff>
    </xdr:from>
    <xdr:to>
      <xdr:col>21</xdr:col>
      <xdr:colOff>547685</xdr:colOff>
      <xdr:row>6</xdr:row>
      <xdr:rowOff>83346</xdr:rowOff>
    </xdr:to>
    <xdr:sp macro="" textlink="">
      <xdr:nvSpPr>
        <xdr:cNvPr id="2" name="Rectangle 1">
          <a:extLst>
            <a:ext uri="{FF2B5EF4-FFF2-40B4-BE49-F238E27FC236}">
              <a16:creationId xmlns:a16="http://schemas.microsoft.com/office/drawing/2014/main" id="{658EFAA5-F790-4DDB-800E-AB69B2E34461}"/>
            </a:ext>
          </a:extLst>
        </xdr:cNvPr>
        <xdr:cNvSpPr/>
      </xdr:nvSpPr>
      <xdr:spPr>
        <a:xfrm>
          <a:off x="12144374" y="297659"/>
          <a:ext cx="4964905" cy="1262062"/>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11 Instructions</a:t>
          </a:r>
        </a:p>
        <a:p>
          <a:pPr marL="182880" algn="l">
            <a:lnSpc>
              <a:spcPct val="108000"/>
            </a:lnSpc>
          </a:pPr>
          <a:r>
            <a:rPr lang="en-US" sz="1200" b="0" i="0" u="none" strike="noStrike" kern="1200">
              <a:solidFill>
                <a:sysClr val="windowText" lastClr="000000"/>
              </a:solidFill>
              <a:effectLst/>
              <a:latin typeface="+mn-lt"/>
              <a:ea typeface="+mn-ea"/>
              <a:cs typeface="+mn-cs"/>
            </a:rPr>
            <a:t>Input</a:t>
          </a:r>
          <a:r>
            <a:rPr lang="en-US" sz="1200" i="0">
              <a:solidFill>
                <a:sysClr val="windowText" lastClr="000000"/>
              </a:solidFill>
              <a:effectLst/>
              <a:latin typeface="+mn-lt"/>
              <a:ea typeface="+mn-ea"/>
              <a:cs typeface="+mn-cs"/>
            </a:rPr>
            <a:t> requested data in the yellow cells, based on actual experience or projections, as appropriate, for this Washington State market</a:t>
          </a:r>
          <a:r>
            <a:rPr lang="en-US" sz="1200" i="0" baseline="0">
              <a:solidFill>
                <a:sysClr val="windowText" lastClr="000000"/>
              </a:solidFill>
              <a:effectLst/>
              <a:latin typeface="+mn-lt"/>
              <a:ea typeface="+mn-ea"/>
              <a:cs typeface="+mn-cs"/>
            </a:rPr>
            <a:t>. </a:t>
          </a:r>
        </a:p>
        <a:p>
          <a:pPr marL="182880" algn="l">
            <a:lnSpc>
              <a:spcPct val="108000"/>
            </a:lnSpc>
          </a:pPr>
          <a:endParaRPr lang="en-US" sz="600" i="0" baseline="0">
            <a:solidFill>
              <a:sysClr val="windowText" lastClr="000000"/>
            </a:solidFill>
            <a:effectLst/>
            <a:latin typeface="+mn-lt"/>
            <a:ea typeface="+mn-ea"/>
            <a:cs typeface="+mn-cs"/>
          </a:endParaRPr>
        </a:p>
        <a:p>
          <a:pPr marL="182880" algn="l">
            <a:lnSpc>
              <a:spcPct val="108000"/>
            </a:lnSpc>
          </a:pPr>
          <a:r>
            <a:rPr lang="en-US" sz="1200" b="0" i="0" kern="1200" baseline="0">
              <a:solidFill>
                <a:sysClr val="windowText" lastClr="000000"/>
              </a:solidFill>
              <a:effectLst/>
              <a:latin typeface="+mn-lt"/>
              <a:ea typeface="+mn-ea"/>
              <a:cs typeface="+mn-cs"/>
            </a:rPr>
            <a:t>Add notes, as needed, to Comments at the bottom of this worksheet.</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0</xdr:row>
      <xdr:rowOff>333374</xdr:rowOff>
    </xdr:from>
    <xdr:to>
      <xdr:col>21</xdr:col>
      <xdr:colOff>523874</xdr:colOff>
      <xdr:row>8</xdr:row>
      <xdr:rowOff>71437</xdr:rowOff>
    </xdr:to>
    <xdr:sp macro="" textlink="">
      <xdr:nvSpPr>
        <xdr:cNvPr id="2" name="Rectangle 1">
          <a:extLst>
            <a:ext uri="{FF2B5EF4-FFF2-40B4-BE49-F238E27FC236}">
              <a16:creationId xmlns:a16="http://schemas.microsoft.com/office/drawing/2014/main" id="{A71D4904-73CC-461A-A992-A10079142858}"/>
            </a:ext>
          </a:extLst>
        </xdr:cNvPr>
        <xdr:cNvSpPr/>
      </xdr:nvSpPr>
      <xdr:spPr>
        <a:xfrm>
          <a:off x="13930313" y="333374"/>
          <a:ext cx="4774405" cy="1595438"/>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12 Instructions</a:t>
          </a:r>
        </a:p>
        <a:p>
          <a:pPr marL="182880" algn="l">
            <a:lnSpc>
              <a:spcPct val="108000"/>
            </a:lnSpc>
          </a:pPr>
          <a:r>
            <a:rPr lang="en-US" sz="1200" b="0" i="0" u="none" strike="noStrike" kern="1200">
              <a:solidFill>
                <a:sysClr val="windowText" lastClr="000000"/>
              </a:solidFill>
              <a:effectLst/>
              <a:latin typeface="+mn-lt"/>
              <a:ea typeface="+mn-ea"/>
              <a:cs typeface="+mn-cs"/>
            </a:rPr>
            <a:t>Input</a:t>
          </a:r>
          <a:r>
            <a:rPr lang="en-US" sz="1200" i="0">
              <a:solidFill>
                <a:sysClr val="windowText" lastClr="000000"/>
              </a:solidFill>
              <a:effectLst/>
              <a:latin typeface="+mn-lt"/>
              <a:ea typeface="+mn-ea"/>
              <a:cs typeface="+mn-cs"/>
            </a:rPr>
            <a:t> requested data in the yellow cells, based on actual experience or projections, as appropriate, for this Washington State market</a:t>
          </a:r>
          <a:r>
            <a:rPr lang="en-US" sz="1200" i="0" baseline="0">
              <a:solidFill>
                <a:sysClr val="windowText" lastClr="000000"/>
              </a:solidFill>
              <a:effectLst/>
              <a:latin typeface="+mn-lt"/>
              <a:ea typeface="+mn-ea"/>
              <a:cs typeface="+mn-cs"/>
            </a:rPr>
            <a:t>. </a:t>
          </a:r>
        </a:p>
        <a:p>
          <a:pPr marL="182880" algn="l">
            <a:lnSpc>
              <a:spcPct val="108000"/>
            </a:lnSpc>
          </a:pPr>
          <a:endParaRPr lang="en-US" sz="600" i="0" baseline="0">
            <a:solidFill>
              <a:sysClr val="windowText" lastClr="000000"/>
            </a:solidFill>
            <a:effectLst/>
            <a:latin typeface="+mn-lt"/>
            <a:ea typeface="+mn-ea"/>
            <a:cs typeface="+mn-cs"/>
          </a:endParaRPr>
        </a:p>
        <a:p>
          <a:pPr marL="182880" algn="l">
            <a:lnSpc>
              <a:spcPct val="108000"/>
            </a:lnSpc>
          </a:pPr>
          <a:r>
            <a:rPr lang="en-US" sz="1200" i="0" baseline="0">
              <a:solidFill>
                <a:sysClr val="windowText" lastClr="000000"/>
              </a:solidFill>
              <a:effectLst/>
              <a:latin typeface="+mn-lt"/>
              <a:ea typeface="+mn-ea"/>
              <a:cs typeface="+mn-cs"/>
            </a:rPr>
            <a:t>Address "C. Difference" amounts that are not $0.</a:t>
          </a:r>
        </a:p>
        <a:p>
          <a:pPr marL="182880" algn="l">
            <a:lnSpc>
              <a:spcPct val="108000"/>
            </a:lnSpc>
          </a:pPr>
          <a:endParaRPr lang="en-US" sz="600" i="0" baseline="0">
            <a:solidFill>
              <a:sysClr val="windowText" lastClr="000000"/>
            </a:solidFill>
            <a:effectLst/>
            <a:latin typeface="+mn-lt"/>
            <a:ea typeface="+mn-ea"/>
            <a:cs typeface="+mn-cs"/>
          </a:endParaRPr>
        </a:p>
        <a:p>
          <a:pPr marL="182880" algn="l">
            <a:lnSpc>
              <a:spcPct val="108000"/>
            </a:lnSpc>
          </a:pPr>
          <a:r>
            <a:rPr lang="en-US" sz="1200" b="0" i="0" kern="1200" baseline="0">
              <a:solidFill>
                <a:sysClr val="windowText" lastClr="000000"/>
              </a:solidFill>
              <a:effectLst/>
              <a:latin typeface="+mn-lt"/>
              <a:ea typeface="+mn-ea"/>
              <a:cs typeface="+mn-cs"/>
            </a:rPr>
            <a:t>Add notes, as needed, to Comments at the bottom of this worksheet.</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7A2CFA7-D101-4F62-A807-EF57D5FAE44F}" name="tbl_RAIDFs" displayName="tbl_RAIDFs" ref="A5:B10" totalsRowShown="0" headerRowDxfId="205" headerRowBorderDxfId="204" tableBorderDxfId="203" totalsRowBorderDxfId="202">
  <autoFilter ref="A5:B10" xr:uid="{A7A2CFA7-D101-4F62-A807-EF57D5FAE44F}"/>
  <tableColumns count="2">
    <tableColumn id="1" xr3:uid="{F42FEEEA-C17D-463B-B191-6293CEEDF4E5}" name="Metal Level" dataDxfId="201"/>
    <tableColumn id="2" xr3:uid="{F42699F5-15F7-469F-87CF-B6C1CBAFCF86}" name="Induced Demand Factor (IDF)" dataDxfId="20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6062E06-6B1C-4072-98FC-F9305D61F3A2}" name="tbl_CSRVariantType" displayName="tbl_CSRVariantType" ref="A19:A25" totalsRowShown="0" headerRowDxfId="199" dataDxfId="198">
  <autoFilter ref="A19:A25" xr:uid="{A6062E06-6B1C-4072-98FC-F9305D61F3A2}"/>
  <tableColumns count="1">
    <tableColumn id="1" xr3:uid="{8D4C1867-48FF-41E4-9545-1FB690875C67}" name="CSR Variant Types" dataDxfId="19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7B1690-283A-4567-A3C6-7324C86E8B21}" name="tbl_Exh3.1" displayName="tbl_Exh3.1" ref="A9:T45" totalsRowShown="0" headerRowDxfId="196" dataDxfId="194" headerRowBorderDxfId="195" tableBorderDxfId="193" totalsRowBorderDxfId="192">
  <tableColumns count="20">
    <tableColumn id="1" xr3:uid="{156704D1-D72F-4522-9744-A98C6DE37004}" name="Incurred Date (YYYYMM)" dataDxfId="191"/>
    <tableColumn id="2" xr3:uid="{9856EA90-16F5-48A2-A40E-510269DD4D9A}" name="Member Months" dataDxfId="190" dataCellStyle="Comma"/>
    <tableColumn id="3" xr3:uid="{674F1CBB-E59F-405F-841D-9CD1989E396E}" name="Allowed Claims _x000a_(as of 3/31/2025)" dataDxfId="189"/>
    <tableColumn id="4" xr3:uid="{D1180049-55EF-4B9C-9CA3-267335DFF2C2}" name="Allowed Claims Completion factor (based on IBNP estimates)" dataDxfId="188"/>
    <tableColumn id="20" xr3:uid="{821EDAC9-4321-4264-9730-DFBA74265BDD}" name="Ultimate Allowed Claims" dataDxfId="187">
      <calculatedColumnFormula>tbl_Exh3.1[[#This Row],[Allowed Claims 
(as of 3/31/2025)]]/tbl_Exh3.1[[#This Row],[Allowed Claims Completion factor (based on IBNP estimates)]]</calculatedColumnFormula>
    </tableColumn>
    <tableColumn id="5" xr3:uid="{93A8D137-4CCE-4E97-BDC8-CAEDA24BBD06}" name="One-Time Adjustment for High Claims (Non-Predictive Claims)" dataDxfId="186" dataCellStyle="Comma"/>
    <tableColumn id="6" xr3:uid="{66198E49-7595-4668-8003-E621DD1A9F95}" name="One-Time Adjustment for HCRP Receipts" dataDxfId="185" dataCellStyle="Comma"/>
    <tableColumn id="7" xr3:uid="{41F8670D-94BC-458F-9E3C-5BAE25919025}" name="Non-EHB Allowed Claims" dataDxfId="184"/>
    <tableColumn id="8" xr3:uid="{D7113CFD-5279-457E-8F4E-371573227E5F}" name="Predictive Ultimate Allowed EHB Claims" dataDxfId="183">
      <calculatedColumnFormula>tbl_Exh3.1[[#This Row],[Ultimate Allowed Claims]]-tbl_Exh3.1[[#This Row],[One-Time Adjustment for High Claims (Non-Predictive Claims)]]-tbl_Exh3.1[[#This Row],[One-Time Adjustment for HCRP Receipts]]-tbl_Exh3.1[[#This Row],[Non-EHB Allowed Claims]]</calculatedColumnFormula>
    </tableColumn>
    <tableColumn id="9" xr3:uid="{3D7B655C-D6CC-4F3A-BA83-930095781839}" name="Predictive Ultimate Allowed EHB Claims PMPM" dataDxfId="182">
      <calculatedColumnFormula>tbl_Exh3.1[[#This Row],[Predictive Ultimate Allowed EHB Claims]]/tbl_Exh3.1[[#This Row],[Member Months]]</calculatedColumnFormula>
    </tableColumn>
    <tableColumn id="10" xr3:uid="{E68A417F-B608-403D-A2AE-A369550DD845}" name="Morbidity Adjustment" dataDxfId="181">
      <calculatedColumnFormula>1.018^(VALUE(LEFT(tbl_Exh3.1[[#This Row],[Incurred Date (YYYYMM)]],4))-2022)</calculatedColumnFormula>
    </tableColumn>
    <tableColumn id="11" xr3:uid="{F0D6D2C0-C0DB-427D-8D63-9CA00994070E}" name="Demographic Shift" dataDxfId="180">
      <calculatedColumnFormula>1.015^(VALUE(LEFT(tbl_Exh3.1[[#This Row],[Incurred Date (YYYYMM)]],4))-2022)</calculatedColumnFormula>
    </tableColumn>
    <tableColumn id="12" xr3:uid="{080214AE-AC82-4ADC-A643-BDB1EA1928C3}" name="Plan Design Changes" dataDxfId="179">
      <calculatedColumnFormula>0.99^(VALUE(LEFT(tbl_Exh3.1[[#This Row],[Incurred Date (YYYYMM)]],4))-2022)</calculatedColumnFormula>
    </tableColumn>
    <tableColumn id="13" xr3:uid="{B447744D-3248-4E68-881C-17445CFD94E8}" name="Other Adjustments" dataDxfId="178">
      <calculatedColumnFormula>1.005^(VALUE(LEFT(tbl_Exh3.1[[#This Row],[Incurred Date (YYYYMM)]],4))-2022)</calculatedColumnFormula>
    </tableColumn>
    <tableColumn id="21" xr3:uid="{112027FB-E477-4AEA-8F9A-91D580D4D9AF}" name="Combined Adjustment" dataDxfId="177">
      <calculatedColumnFormula>PRODUCT(tbl_Exh3.1[[#This Row],[Morbidity Adjustment]:[Other Adjustments]])</calculatedColumnFormula>
    </tableColumn>
    <tableColumn id="14" xr3:uid="{D1E02262-3C72-4144-8597-5503CE8A3DAB}" name="Accumulated Adjustments" dataDxfId="176">
      <calculatedColumnFormula array="1">PRODUCT(IF(VALUE(RIGHT(tbl_Exh3.1[Incurred Date (YYYYMM)],2))=VALUE(RIGHT(tbl_Exh3.1[[#This Row],[Incurred Date (YYYYMM)]],2)),IF(VALUE(LEFT(tbl_Exh3.1[Incurred Date (YYYYMM)],4))&lt;=VALUE(LEFT(tbl_Exh3.1[[#This Row],[Incurred Date (YYYYMM)]],4)),tbl_Exh3.1[Combined Adjustment],1),1))</calculatedColumnFormula>
    </tableColumn>
    <tableColumn id="18" xr3:uid="{FCB98B09-BF09-44C0-AEB2-153F13BBD627}" name="Allowable Rating Adjustment Normalization Factor" dataDxfId="175">
      <calculatedColumnFormula>INDEX(tbl_Exh3.1[Accumulated Adjustments],MATCH(VALUE(SUBSTITUTE(tbl_Exh3.1[[#This Row],[Incurred Date (YYYYMM)]],LEFT(tbl_Exh3.1[[#This Row],[Incurred Date (YYYYMM)]],4),ExperYear)),tbl_Exh3.1[Incurred Date (YYYYMM)],0))/tbl_Exh3.1[[#This Row],[Accumulated Adjustments]]</calculatedColumnFormula>
    </tableColumn>
    <tableColumn id="16" xr3:uid="{EC2A72EF-0731-4FCF-9A74-FA7F35147E90}" name="Normalized Allowed Claims PMPM (to Experience Period)" dataDxfId="174">
      <calculatedColumnFormula>tbl_Exh3.1[[#This Row],[Allowable Rating Adjustment Normalization Factor]]*tbl_Exh3.1[[#This Row],[Predictive Ultimate Allowed EHB Claims PMPM]]</calculatedColumnFormula>
    </tableColumn>
    <tableColumn id="19" xr3:uid="{0B2445CF-014D-43A2-A129-3B4C6AE054A6}" name="Unadjusted 12-Month Rolling Allowed Claims Trend" dataDxfId="173"/>
    <tableColumn id="17" xr3:uid="{F4E218E7-6CAF-4240-A08C-AC41A146BFD7}" name="Normalized 12-Month Rolling Allowed Claims Trend" dataDxfId="172" dataCellStyle="Percen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FA509E1-2B87-41DF-B405-DC50578D25E1}" name="tbl_Exh3.2" displayName="tbl_Exh3.2" ref="A48:J51" totalsRowShown="0" headerRowDxfId="171" dataDxfId="169" headerRowBorderDxfId="170" tableBorderDxfId="168" totalsRowBorderDxfId="167">
  <tableColumns count="10">
    <tableColumn id="1" xr3:uid="{991F39C7-69FB-4FCF-82D9-4397C322F385}" name="Plan Year" dataDxfId="166"/>
    <tableColumn id="2" xr3:uid="{3C11407A-1897-44CE-94D5-4948E655DB04}" name="Total Member Months" dataDxfId="165">
      <calculatedColumnFormula array="1">SUMPRODUCT((ROUNDDOWN(tbl_Exh3.1[Incurred Date (YYYYMM)]/100,0)=$A49)*tbl_Exh3.1[Member Months])</calculatedColumnFormula>
    </tableColumn>
    <tableColumn id="3" xr3:uid="{A810A9BB-1023-41C1-A6EC-10C68744EF70}" name="Total Allowed Claims _x000a_(as of 3/31/2025)" dataDxfId="164">
      <calculatedColumnFormula array="1">SUMPRODUCT((ROUNDDOWN(tbl_Exh3.1[Incurred Date (YYYYMM)]/100,0)=A49)*tbl_Exh3.1[Allowed Claims 
(as of 3/31/2025)])</calculatedColumnFormula>
    </tableColumn>
    <tableColumn id="4" xr3:uid="{BC8903F0-DD51-4E5D-A58A-4FB4ADA0D5D5}" name="-" dataDxfId="163"/>
    <tableColumn id="5" xr3:uid="{B42E94D1-E5AD-40B9-9F9A-AFFD3F6D0AF2}" name="Total Ultimate Allowed Claims" dataDxfId="162">
      <calculatedColumnFormula array="1">SUMPRODUCT((ROUNDDOWN(tbl_Exh3.1[Incurred Date (YYYYMM)]/100,0)=A49)*tbl_Exh3.1[Ultimate Allowed Claims])</calculatedColumnFormula>
    </tableColumn>
    <tableColumn id="6" xr3:uid="{5E7B32DD-8D49-4617-BA64-6EBDC78273D4}" name="Total One-Time Adjustment for High Claims (Non-Predictive Claims)" dataDxfId="161">
      <calculatedColumnFormula array="1">SUMPRODUCT((ROUNDDOWN(tbl_Exh3.1[Incurred Date (YYYYMM)]/100,0)=A49)*tbl_Exh3.1[One-Time Adjustment for High Claims (Non-Predictive Claims)])</calculatedColumnFormula>
    </tableColumn>
    <tableColumn id="7" xr3:uid="{148DB7F2-6B18-42F8-B07D-ECCA1643B478}" name="Total One-Time Adjustment for HCRP Receipts" dataDxfId="160">
      <calculatedColumnFormula array="1">SUMPRODUCT((ROUNDDOWN(tbl_Exh3.1[Incurred Date (YYYYMM)]/100,0)=A49)*tbl_Exh3.1[One-Time Adjustment for HCRP Receipts])</calculatedColumnFormula>
    </tableColumn>
    <tableColumn id="8" xr3:uid="{EC7FD6F0-1D30-4E3D-A21B-CE663AC1DE53}" name="Total Non-EHB Allowed Claims" dataDxfId="159">
      <calculatedColumnFormula array="1">SUMPRODUCT((ROUNDDOWN(tbl_Exh3.1[Incurred Date (YYYYMM)]/100,0)=A49)*tbl_Exh3.1[Non-EHB Allowed Claims])</calculatedColumnFormula>
    </tableColumn>
    <tableColumn id="9" xr3:uid="{E6121C1E-39EC-4663-B85C-FE15B4B7D804}" name="Total Predictive Ultimate Allowed EHB Claims" dataDxfId="158">
      <calculatedColumnFormula array="1">SUMPRODUCT((ROUNDDOWN(tbl_Exh3.1[Incurred Date (YYYYMM)]/100,0)=A49)*tbl_Exh3.1[Predictive Ultimate Allowed EHB Claims])</calculatedColumnFormula>
    </tableColumn>
    <tableColumn id="10" xr3:uid="{BBEFCB78-6963-4CA6-A293-02E5F6101EEE}" name="Total Predictive Ultimate Allowed EHB Claims PMPM" dataDxfId="157">
      <calculatedColumnFormula>tbl_Exh3.2[[#This Row],[Total Predictive Ultimate Allowed EHB Claims]]/tbl_Exh3.2[[#This Row],[Total Member Months]]</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6E4E38F-E3E7-4DD3-BB8F-1AF4B0D0C0C2}" name="tbl_Exh3.110" displayName="tbl_Exh3.110" ref="A10:T46" totalsRowShown="0" headerRowDxfId="156" dataDxfId="154" headerRowBorderDxfId="155" tableBorderDxfId="153" totalsRowBorderDxfId="152">
  <tableColumns count="20">
    <tableColumn id="1" xr3:uid="{4592709F-BDA0-4DA3-A4BB-CDE113A4FE10}" name="Incurred Date (YYYYMM)" dataDxfId="151"/>
    <tableColumn id="2" xr3:uid="{EF3905AC-F966-44AA-85BD-9D3103B11B6B}" name="Member Months" dataDxfId="150" dataCellStyle="Comma"/>
    <tableColumn id="3" xr3:uid="{BDDC22A1-5452-41A7-8ED6-6D26117CBF82}" name="Allowed Claims _x000a_(as of 3/31/2025)" dataDxfId="149">
      <calculatedColumnFormula>tbl_Exh3.110[[#This Row],[Member Months]]*300*(AA11)*tbl_Exh3.110[[#This Row],[Accumulated Adjustments]]+tbl_Exh3.110[[#This Row],[One-Time Adjustment for High Claims (Non-Predictive Claims)]]+tbl_Exh3.110[[#This Row],[One-Time Adjustment for HCRP Receipts]]</calculatedColumnFormula>
    </tableColumn>
    <tableColumn id="4" xr3:uid="{828E79FE-F85C-41C9-9543-4568EB8F7839}" name="Allowed Claims Completion factor (based on IBNP estimates)" dataDxfId="148">
      <calculatedColumnFormula>0.985</calculatedColumnFormula>
    </tableColumn>
    <tableColumn id="20" xr3:uid="{AC409504-F2B2-4CB7-ADAE-CC49830564C8}" name="Ultimate Allowed Claims" dataDxfId="147">
      <calculatedColumnFormula>tbl_Exh3.110[[#This Row],[Allowed Claims 
(as of 3/31/2025)]]/tbl_Exh3.110[[#This Row],[Allowed Claims Completion factor (based on IBNP estimates)]]</calculatedColumnFormula>
    </tableColumn>
    <tableColumn id="5" xr3:uid="{D5D5B24A-F124-43AD-AC90-9C6952F5D171}" name="One-Time Adjustment for High Claims (Non-Predictive Claims)" dataDxfId="146" dataCellStyle="Comma"/>
    <tableColumn id="6" xr3:uid="{99E307D3-7C70-45FB-8BBB-E373F00EF16B}" name="One-Time Adjustment for HCRP Receipts" dataDxfId="145" dataCellStyle="Comma"/>
    <tableColumn id="7" xr3:uid="{C08E94C5-7AE3-4B64-98D7-9A0B369D3877}" name="Non-EHB Allowed Claims" dataDxfId="144">
      <calculatedColumnFormula>0.01*tbl_Exh3.110[[#This Row],[Ultimate Allowed Claims]]</calculatedColumnFormula>
    </tableColumn>
    <tableColumn id="8" xr3:uid="{2B6C9752-C6A7-4AA3-B053-1EC609827182}" name="Predictive Ultimate Allowed EHB Claims" dataDxfId="143">
      <calculatedColumnFormula>tbl_Exh3.110[[#This Row],[Ultimate Allowed Claims]]-tbl_Exh3.110[[#This Row],[One-Time Adjustment for High Claims (Non-Predictive Claims)]]-tbl_Exh3.110[[#This Row],[One-Time Adjustment for HCRP Receipts]]-tbl_Exh3.110[[#This Row],[Non-EHB Allowed Claims]]</calculatedColumnFormula>
    </tableColumn>
    <tableColumn id="9" xr3:uid="{255A2577-0F8E-4C07-8C62-831F22DDD4CE}" name="Predictive Ultimate Allowed EHB Claims PMPM" dataDxfId="142">
      <calculatedColumnFormula>tbl_Exh3.110[[#This Row],[Predictive Ultimate Allowed EHB Claims]]/tbl_Exh3.110[[#This Row],[Member Months]]</calculatedColumnFormula>
    </tableColumn>
    <tableColumn id="10" xr3:uid="{741EF615-2A4F-42E5-970F-67DC91E09B9D}" name="Morbidity Adjustment" dataDxfId="141">
      <calculatedColumnFormula>1.018^(VALUE(LEFT(tbl_Exh3.110[[#This Row],[Incurred Date (YYYYMM)]],4))-2022)</calculatedColumnFormula>
    </tableColumn>
    <tableColumn id="11" xr3:uid="{4BF673E9-08DB-4DEA-AD5D-7FAF9941C10A}" name="Demographic Shift" dataDxfId="140">
      <calculatedColumnFormula>1.015^(VALUE(LEFT(tbl_Exh3.110[[#This Row],[Incurred Date (YYYYMM)]],4))-2022)</calculatedColumnFormula>
    </tableColumn>
    <tableColumn id="12" xr3:uid="{51720A0C-9851-453B-8286-D3D30F33C99D}" name="Plan Design Changes" dataDxfId="139">
      <calculatedColumnFormula>0.99^(VALUE(LEFT(tbl_Exh3.110[[#This Row],[Incurred Date (YYYYMM)]],4))-2022)</calculatedColumnFormula>
    </tableColumn>
    <tableColumn id="13" xr3:uid="{BC78E26F-0DD5-4019-BE5C-B7F927CD98A5}" name="Other Adjustments" dataDxfId="138">
      <calculatedColumnFormula>1.005^(VALUE(LEFT(tbl_Exh3.110[[#This Row],[Incurred Date (YYYYMM)]],4))-2022)</calculatedColumnFormula>
    </tableColumn>
    <tableColumn id="21" xr3:uid="{1CBAAE60-86F9-4C47-B2CD-9EA34DAB10B1}" name="Combined Adjustment" dataDxfId="137">
      <calculatedColumnFormula>PRODUCT(tbl_Exh3.110[[#This Row],[Morbidity Adjustment]:[Other Adjustments]])</calculatedColumnFormula>
    </tableColumn>
    <tableColumn id="14" xr3:uid="{FD8802F1-3A78-453A-815B-2709B1B760D1}" name="Accumulated Adjustments" dataDxfId="136">
      <calculatedColumnFormula array="1">PRODUCT(IF(VALUE(RIGHT(tbl_Exh3.110[Incurred Date (YYYYMM)],2))=VALUE(RIGHT(tbl_Exh3.110[[#This Row],[Incurred Date (YYYYMM)]],2)),IF(VALUE(LEFT(tbl_Exh3.110[Incurred Date (YYYYMM)],4))&lt;=VALUE(LEFT(tbl_Exh3.110[[#This Row],[Incurred Date (YYYYMM)]],4)),tbl_Exh3.110[Combined Adjustment],1),1))</calculatedColumnFormula>
    </tableColumn>
    <tableColumn id="18" xr3:uid="{C46899A3-7878-4F8A-A701-651DC1FA8AA8}" name="Allowable Rating Adjustment Normalization Factor" dataDxfId="135">
      <calculatedColumnFormula>INDEX(tbl_Exh3.110[Accumulated Adjustments],MATCH(VALUE(SUBSTITUTE(tbl_Exh3.110[[#This Row],[Incurred Date (YYYYMM)]],LEFT(tbl_Exh3.110[[#This Row],[Incurred Date (YYYYMM)]],4),ExperYear)),tbl_Exh3.110[Incurred Date (YYYYMM)],0))/tbl_Exh3.110[[#This Row],[Accumulated Adjustments]]</calculatedColumnFormula>
    </tableColumn>
    <tableColumn id="16" xr3:uid="{DE378993-858F-4242-B808-0CF38A413C81}" name="Normalized Allowed Claims PMPM (to Experience Period)" dataDxfId="134">
      <calculatedColumnFormula>tbl_Exh3.110[[#This Row],[Allowable Rating Adjustment Normalization Factor]]*tbl_Exh3.110[[#This Row],[Predictive Ultimate Allowed EHB Claims PMPM]]</calculatedColumnFormula>
    </tableColumn>
    <tableColumn id="19" xr3:uid="{C07A5696-8FF6-4833-9950-73CFF00CDCDF}" name="Unadjusted 12-Month Rolling Allowed Claims Trend" dataDxfId="133"/>
    <tableColumn id="17" xr3:uid="{AE81364A-7926-4D28-9FA4-8EC2259C5C0F}" name="Normalized 12-Month Rolling Allowed Claims Trend" dataDxfId="132" dataCellStyle="Percent"/>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AFB64A0-E952-4163-B632-0DA8E2D9996B}" name="tbl_Exh3.211" displayName="tbl_Exh3.211" ref="A49:J52" totalsRowShown="0" headerRowDxfId="131" dataDxfId="129" headerRowBorderDxfId="130" tableBorderDxfId="128" totalsRowBorderDxfId="127">
  <tableColumns count="10">
    <tableColumn id="1" xr3:uid="{F1D59523-73F5-4CE3-B38B-486509F4ADA5}" name="Plan Year" dataDxfId="126"/>
    <tableColumn id="2" xr3:uid="{0498D384-F035-4E5A-A8F1-CFAB358A594C}" name="Total Member Months" dataDxfId="125">
      <calculatedColumnFormula array="1">SUMPRODUCT((ROUNDDOWN(tbl_Exh3.110[Incurred Date (YYYYMM)]/100,0)=$A50)*tbl_Exh3.110[Member Months])</calculatedColumnFormula>
    </tableColumn>
    <tableColumn id="3" xr3:uid="{BBDC3E25-6B9C-4C6F-9AB6-1298BD2D008C}" name="Total Allowed Claims _x000a_(as of 3/31/2025)" dataDxfId="124">
      <calculatedColumnFormula array="1">SUMPRODUCT((ROUNDDOWN(tbl_Exh3.110[Incurred Date (YYYYMM)]/100,0)=A50)*tbl_Exh3.110[Allowed Claims 
(as of 3/31/2025)])</calculatedColumnFormula>
    </tableColumn>
    <tableColumn id="4" xr3:uid="{CBA32295-8AEF-4DB8-974B-49C4653E2FF8}" name="Blank2" dataDxfId="123"/>
    <tableColumn id="5" xr3:uid="{AF47843E-AFE1-45E4-8A68-36E5A93CFA94}" name="Total Ultimate Allowed Claims" dataDxfId="122">
      <calculatedColumnFormula array="1">SUMPRODUCT((ROUNDDOWN(tbl_Exh3.110[Incurred Date (YYYYMM)]/100,0)=A50)*tbl_Exh3.110[Ultimate Allowed Claims])</calculatedColumnFormula>
    </tableColumn>
    <tableColumn id="6" xr3:uid="{6E0CC5D6-CEDF-4A6D-AC8D-B1A7C2AA22FC}" name="Total One-Time Adjustment for High Claims (Non-Predictive Claims)" dataDxfId="121">
      <calculatedColumnFormula array="1">SUMPRODUCT((ROUNDDOWN(tbl_Exh3.110[Incurred Date (YYYYMM)]/100,0)=A50)*tbl_Exh3.110[One-Time Adjustment for High Claims (Non-Predictive Claims)])</calculatedColumnFormula>
    </tableColumn>
    <tableColumn id="7" xr3:uid="{45EB872E-9C67-4571-B2FF-07CEC1DC6B74}" name="Total One-Time Adjustment for HCRP Receipts" dataDxfId="120">
      <calculatedColumnFormula array="1">SUMPRODUCT((ROUNDDOWN(tbl_Exh3.110[Incurred Date (YYYYMM)]/100,0)=A50)*tbl_Exh3.110[One-Time Adjustment for HCRP Receipts])</calculatedColumnFormula>
    </tableColumn>
    <tableColumn id="8" xr3:uid="{28BEE305-4D36-4373-B9AD-D9DDFD0ED0EA}" name="Total Non-EHB Allowed Claims" dataDxfId="119">
      <calculatedColumnFormula array="1">SUMPRODUCT((ROUNDDOWN(tbl_Exh3.110[Incurred Date (YYYYMM)]/100,0)=A50)*tbl_Exh3.110[Non-EHB Allowed Claims])</calculatedColumnFormula>
    </tableColumn>
    <tableColumn id="9" xr3:uid="{3973CC22-94E0-4060-9094-10D0A09B8EA4}" name="Total Predictive Ultimate Allowed EHB Claims" dataDxfId="118">
      <calculatedColumnFormula array="1">SUMPRODUCT((ROUNDDOWN(tbl_Exh3.110[Incurred Date (YYYYMM)]/100,0)=A50)*tbl_Exh3.110[Predictive Ultimate Allowed EHB Claims])</calculatedColumnFormula>
    </tableColumn>
    <tableColumn id="10" xr3:uid="{65805853-C2D1-4AE3-8997-40A05A3CFB88}" name="Total Predictive Ultimate Allowed EHB Claims PMPM" dataDxfId="117">
      <calculatedColumnFormula>tbl_Exh3.211[[#This Row],[Total Predictive Ultimate Allowed EHB Claims]]/tbl_Exh3.211[[#This Row],[Total Member Months]]</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C36876C-37B5-418C-8C30-5DEFDCB20376}" name="tbl_Exh8.1" displayName="tbl_Exh8.1" ref="A9:K12" totalsRowShown="0" headerRowDxfId="116" headerRowBorderDxfId="115" tableBorderDxfId="114">
  <autoFilter ref="A9:K12" xr:uid="{7C36876C-37B5-418C-8C30-5DEFDCB20376}"/>
  <tableColumns count="11">
    <tableColumn id="1" xr3:uid="{423F5CAF-A769-4E35-B045-0CEBFE8D3D79}" name="HIOS Plan ID"/>
    <tableColumn id="2" xr3:uid="{194BD9B6-3543-491B-834E-798E16C2B59C}" name="Metal Level" dataDxfId="113"/>
    <tableColumn id="3" xr3:uid="{095AF419-15F1-40AA-99DD-902020F1924C}" name="AV Metal Value_x000a_2024" dataDxfId="112"/>
    <tableColumn id="4" xr3:uid="{0BC48447-CD92-43E8-801B-4D0060E8B3C6}" name="AV Metal Value_x000a_2025" dataDxfId="111"/>
    <tableColumn id="5" xr3:uid="{41454154-808C-4B46-AE94-28032EA6DB84}" name="AV Metal Value_x000a_2026" dataDxfId="110"/>
    <tableColumn id="6" xr3:uid="{5748C726-9620-4E4D-9EA9-C1C69F73836C}" name="AV Pricing Value_x000a_2024" dataDxfId="109"/>
    <tableColumn id="7" xr3:uid="{255EDF41-730F-4786-9C2D-08811382C17E}" name="AV Pricing Value_x000a_2025" dataDxfId="108"/>
    <tableColumn id="8" xr3:uid="{08A68729-8349-449E-8D78-672E2F60EC35}" name="AV Pricing Value_x000a_2026" dataDxfId="107"/>
    <tableColumn id="10" xr3:uid="{2C465B2D-F596-4C87-A03A-19220EE253E0}" name="2024" dataDxfId="106" dataCellStyle="Normal">
      <calculatedColumnFormula>tbl_Exh8.1[[#This Row],[AV Pricing Value
2024]]-tbl_Exh8.1[[#This Row],[AV Metal Value
2024]]</calculatedColumnFormula>
    </tableColumn>
    <tableColumn id="11" xr3:uid="{A47651BA-E7DF-4C74-BD67-37BFFF41BCF8}" name="2025" dataDxfId="105" dataCellStyle="Normal">
      <calculatedColumnFormula>tbl_Exh8.1[[#This Row],[AV Pricing Value
2025]]-tbl_Exh8.1[[#This Row],[AV Metal Value
2025]]</calculatedColumnFormula>
    </tableColumn>
    <tableColumn id="12" xr3:uid="{3EBF4A6A-1395-4D98-B41F-FE7FCE4AFA74}" name="2026" dataDxfId="104" dataCellStyle="Normal">
      <calculatedColumnFormula>tbl_Exh8.1[[#This Row],[AV Pricing Value
2026]]-tbl_Exh8.1[[#This Row],[AV Metal Value
2026]]</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4D5BB1E-4098-46B7-8376-EFEE64CD42CC}" name="tbl_Exh8.14" displayName="tbl_Exh8.14" ref="A10:K13" totalsRowShown="0" headerRowDxfId="103" headerRowBorderDxfId="102" tableBorderDxfId="101">
  <autoFilter ref="A10:K13" xr:uid="{7C36876C-37B5-418C-8C30-5DEFDCB20376}"/>
  <tableColumns count="11">
    <tableColumn id="1" xr3:uid="{30268D1C-908B-487F-9F0B-82D2E38FD818}" name="HIOS Plan ID"/>
    <tableColumn id="2" xr3:uid="{909C392A-D098-4754-989B-0819E9712556}" name="Metal Level" dataDxfId="100"/>
    <tableColumn id="3" xr3:uid="{816DA668-F846-49E5-A7BD-F5B3A4D07DE2}" name="AV Metal Value_x000a_2024" dataDxfId="99"/>
    <tableColumn id="4" xr3:uid="{FE59F663-B4BC-4C55-AF8D-6A1ED1495B64}" name="AV Metal Value_x000a_2025" dataDxfId="98"/>
    <tableColumn id="5" xr3:uid="{C104DAAC-92BC-4BA0-BC8B-CEF8D56E20B5}" name="AV Metal Value_x000a_2026" dataDxfId="97"/>
    <tableColumn id="6" xr3:uid="{C472783B-4893-4731-9B74-97422FE3EEA2}" name="AV Pricing Value_x000a_2024" dataDxfId="96"/>
    <tableColumn id="7" xr3:uid="{25767464-56CE-40BA-A305-C97F0C65E858}" name="AV Pricing Value_x000a_2025" dataDxfId="95"/>
    <tableColumn id="8" xr3:uid="{58450741-D715-466D-9E55-38182384861E}" name="AV Pricing Value_x000a_2026" dataDxfId="94"/>
    <tableColumn id="10" xr3:uid="{B3026FDB-CA4F-48E1-A86A-9ACDB09C4314}" name="2024" dataDxfId="93" dataCellStyle="Normal">
      <calculatedColumnFormula>tbl_Exh8.14[[#This Row],[AV Pricing Value
2024]]-tbl_Exh8.14[[#This Row],[AV Metal Value
2024]]</calculatedColumnFormula>
    </tableColumn>
    <tableColumn id="11" xr3:uid="{4477BE8F-90D8-4DDD-A046-295D9BB870F9}" name="2025" dataDxfId="92" dataCellStyle="Normal">
      <calculatedColumnFormula>tbl_Exh8.14[[#This Row],[AV Pricing Value
2025]]-tbl_Exh8.14[[#This Row],[AV Metal Value
2025]]</calculatedColumnFormula>
    </tableColumn>
    <tableColumn id="12" xr3:uid="{96B0A2D6-C512-4B28-B465-1B511507BA5C}" name="2026" dataDxfId="91" dataCellStyle="Normal">
      <calculatedColumnFormula>tbl_Exh8.14[[#This Row],[AV Pricing Value
2026]]-tbl_Exh8.14[[#This Row],[AV Metal Value
2026]]</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AB0D561-305D-41B5-9775-E229EFE9182E}" name="tbl_Exh7" displayName="tbl_Exh7" ref="A9:M12" totalsRowShown="0" headerRowDxfId="90" dataDxfId="89" dataCellStyle="Normal">
  <autoFilter ref="A9:M12" xr:uid="{C4C2525C-B934-4F03-B3C5-DA402A490ADF}"/>
  <tableColumns count="13">
    <tableColumn id="1" xr3:uid="{1CAF861B-1EBF-452D-B008-20032ACA4795}" name="HIOS Plan ID" dataDxfId="88" dataCellStyle="Normal"/>
    <tableColumn id="15" xr3:uid="{F0FA0837-2EF0-446E-8F33-A4AB26F60EFF}" name="Metal Level" dataDxfId="87"/>
    <tableColumn id="3" xr3:uid="{16123846-26CB-4FAD-9742-68ADE780084F}" name="CSR Plan Variant" dataDxfId="86"/>
    <tableColumn id="2" xr3:uid="{80266D1C-D65B-414B-A4DC-1801D2A3CD3D}" name="2026 Plan Category_x000a_(New, Renewing, Terminated)" dataDxfId="85" dataCellStyle="Normal"/>
    <tableColumn id="6" xr3:uid="{98D04012-60CF-492A-84F9-A18FF9C6D16A}" name="CSR Silver Load (Projected)" dataDxfId="84" dataCellStyle="Comma"/>
    <tableColumn id="17" xr3:uid="{8E2FB540-255E-44BD-92DE-597D7D59BDD4}" name="Member Months" dataDxfId="83"/>
    <tableColumn id="7" xr3:uid="{5A55DE3B-76D4-420E-B679-28A0C14F3F72}" name="Allowed Claims" dataDxfId="82" dataCellStyle="Normal"/>
    <tableColumn id="8" xr3:uid="{0BC3431E-C068-4734-BCFD-434DD18751C5}" name="Paid Claims" dataDxfId="81" dataCellStyle="Normal"/>
    <tableColumn id="18" xr3:uid="{D2095542-6B62-4234-93EA-FE7645F74747}" name="Paid-to-Allowed Ratio" dataDxfId="80">
      <calculatedColumnFormula>tbl_Exh7[[#This Row],[Paid Claims]]/tbl_Exh7[[#This Row],[Allowed Claims]]</calculatedColumnFormula>
    </tableColumn>
    <tableColumn id="19" xr3:uid="{D9524C21-D685-4B46-8923-982D44B0266F}" name="CSR Paid Claims" dataDxfId="79"/>
    <tableColumn id="21" xr3:uid="{62D7AEAC-BE19-42CB-802F-9B36010F0909}" name="CSR-Adjusted_x000a_Paid-to-Allowed_x000a_Ratio" dataDxfId="78">
      <calculatedColumnFormula>(tbl_Exh7[[#This Row],[Paid Claims]]-tbl_Exh7[[#This Row],[CSR Paid Claims]])/tbl_Exh7[[#This Row],[Allowed Claims]]</calculatedColumnFormula>
    </tableColumn>
    <tableColumn id="16" xr3:uid="{B489EE0C-D29C-484B-84A5-373159A0CFEF}" name="APTC Payments" dataDxfId="77"/>
    <tableColumn id="22" xr3:uid="{FB868C92-82E4-450F-AEC8-8048D1231ED5}" name="Net CSR Funds" dataDxfId="76" dataCellStyle="Normal">
      <calculatedColumnFormula>IF(tbl_Exh7[[#This Row],[CSR Paid Claims]]&gt;0,tbl_Exh7[[#This Row],[APTC Payments]]-tbl_Exh7[[#This Row],[CSR Paid Claims]],"")</calculatedColumnFormula>
    </tableColumn>
  </tableColumns>
  <tableStyleInfo name="TableStyleMedium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BAE0CA6-8C35-43BE-9377-583B6B45133D}" name="tbl_Exh75" displayName="tbl_Exh75" ref="A10:M13" totalsRowShown="0" headerRowDxfId="75" dataDxfId="74" dataCellStyle="Normal">
  <autoFilter ref="A10:M13" xr:uid="{C4C2525C-B934-4F03-B3C5-DA402A490ADF}"/>
  <tableColumns count="13">
    <tableColumn id="1" xr3:uid="{B17C3A1A-D541-4C13-8C5B-8744D69D3792}" name="HIOS Plan ID" dataDxfId="73" dataCellStyle="Normal"/>
    <tableColumn id="15" xr3:uid="{82081B12-2C05-4122-8D96-463DB95D645A}" name="Metal Level" dataDxfId="72"/>
    <tableColumn id="3" xr3:uid="{9FE6EBA5-1484-4CE0-A4CE-57A190EC575C}" name="CSR Plan Variant" dataDxfId="71"/>
    <tableColumn id="2" xr3:uid="{091468BC-D8A0-4EB6-99B1-51C2564F6D4D}" name="2026 Plan Category_x000a_(New, Renewing, Terminated)" dataDxfId="70" dataCellStyle="Normal"/>
    <tableColumn id="6" xr3:uid="{871D8B27-4B21-4C00-96F6-2891F06AE83F}" name="CSR Silver Load (Projected)" dataDxfId="69" dataCellStyle="Comma"/>
    <tableColumn id="17" xr3:uid="{17990220-1F08-474A-A78C-AD4970515DB2}" name="Member Months" dataDxfId="68"/>
    <tableColumn id="7" xr3:uid="{C38A584B-7872-4FB6-A249-CAF870FDE25A}" name="Allowed Claims" dataDxfId="67" dataCellStyle="Normal"/>
    <tableColumn id="8" xr3:uid="{855EE69F-3B0C-40A9-94E6-C6A260B1729B}" name="Paid Claims" dataDxfId="66" dataCellStyle="Normal"/>
    <tableColumn id="18" xr3:uid="{60885667-D948-4275-9C11-A4F3E8459E41}" name="Paid-to-Allowed Ratio" dataDxfId="65">
      <calculatedColumnFormula>tbl_Exh75[[#This Row],[Paid Claims]]/tbl_Exh75[[#This Row],[Allowed Claims]]</calculatedColumnFormula>
    </tableColumn>
    <tableColumn id="19" xr3:uid="{370B83CD-BA6E-4B92-963F-1FFBEA41D92F}" name="CSR Paid Claims" dataDxfId="64"/>
    <tableColumn id="21" xr3:uid="{35BD66B4-5269-4F6E-9BA5-B548F4E57272}" name="CSR-Adjusted_x000a_Paid-to-Allowed_x000a_Ratio" dataDxfId="63">
      <calculatedColumnFormula>(tbl_Exh75[[#This Row],[Paid Claims]]-tbl_Exh75[[#This Row],[CSR Paid Claims]])/tbl_Exh75[[#This Row],[Allowed Claims]]</calculatedColumnFormula>
    </tableColumn>
    <tableColumn id="16" xr3:uid="{71E28577-C750-4F0F-B80D-F6708431647C}" name="APTC Payments" dataDxfId="62"/>
    <tableColumn id="22" xr3:uid="{8F5B608D-8396-4C53-97CD-20255EB97EB3}" name="Net CSR Funds" dataDxfId="61" dataCellStyle="Normal">
      <calculatedColumnFormula>IF(tbl_Exh75[[#This Row],[CSR Paid Claims]]&gt;0,tbl_Exh75[[#This Row],[APTC Payments]]-tbl_Exh75[[#This Row],[CSR Paid Claims]],"")</calculatedColumnFormula>
    </tableColumn>
  </tableColumns>
  <tableStyleInfo name="TableStyleMedium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CB20816-6502-41EA-B915-6A4F446835F3}" name="tbl_Exh9" displayName="tbl_Exh9" ref="A9:L17" totalsRowShown="0" headerRowDxfId="60" dataDxfId="58" headerRowBorderDxfId="59" dataCellStyle="Normal">
  <autoFilter ref="A9:L17" xr:uid="{C4C2525C-B934-4F03-B3C5-DA402A490ADF}"/>
  <tableColumns count="12">
    <tableColumn id="1" xr3:uid="{B86635FE-CD67-4303-8C0D-90894C54AF2E}" name="HIOS Plan ID" dataDxfId="57" dataCellStyle="Normal"/>
    <tableColumn id="15" xr3:uid="{538EF4DF-B339-4941-AC61-A1D004BCB6C8}" name="Metal Level" dataDxfId="56"/>
    <tableColumn id="2" xr3:uid="{5C0B543F-A724-425F-9B03-649246A7A44E}" name="2026 Plan Category_x000a_(New, Renewing, Terminated)" dataDxfId="55"/>
    <tableColumn id="3" xr3:uid="{539A561D-CE97-47E4-9CD6-71115D5B0A1D}" name="Exchange Plan?" dataDxfId="54"/>
    <tableColumn id="4" xr3:uid="{23F76DC7-4B5C-450A-B251-762777746C92}" name="Requesting Expanded AV Pricing Value Range" dataDxfId="53"/>
    <tableColumn id="21" xr3:uid="{D573A4B7-EC2A-423A-A773-5BBD4D6AB015}" name="AV Metal Value" dataDxfId="52"/>
    <tableColumn id="24" xr3:uid="{EAC2111D-E463-4D4E-A9D9-062E1560D360}" name="AV Pricing Value" dataDxfId="51"/>
    <tableColumn id="5" xr3:uid="{4F05B2D5-37FB-45B5-8C70-E0C7F288EE62}" name="Induced Demand Factor_x000a_(IDF)" dataDxfId="50" dataCellStyle="Normal"/>
    <tableColumn id="6" xr3:uid="{05B0E4F8-2DFC-4DEF-B9B9-43806B1B5BA0}" name="CSR Silver Load" dataDxfId="49" dataCellStyle="Normal"/>
    <tableColumn id="25" xr3:uid="{DE3E874B-AEC9-4FB0-9C42-AB5D960742A9}" name="Check_x000a_AV Pricing Value within 2% (or 3%)_x000a_of AV Metal Value" dataDxfId="48" dataCellStyle="Percent">
      <calculatedColumnFormula>tbl_Exh9[[#This Row],[AV Pricing Value]]-tbl_Exh9[[#This Row],[AV Metal Value]]</calculatedColumnFormula>
    </tableColumn>
    <tableColumn id="26" xr3:uid="{371F0D97-4F01-4DCC-86EF-A618FA0E70E2}" name="Check _x000a_Expected Risk Adjustment IDF" dataDxfId="47" dataCellStyle="Normal">
      <calculatedColumnFormula>IF(tbl_Exh9[[#This Row],[AV Pricing Value]]="","",tbl_Exh9[[#This Row],[AV Pricing Value]]^2-tbl_Exh9[[#This Row],[AV Pricing Value]]+1.24)</calculatedColumnFormula>
    </tableColumn>
    <tableColumn id="27" xr3:uid="{E3DDD997-20D7-4B88-8714-9229F30A9AB5}" name="Check_x000a_CSR Silver Load" dataDxfId="46" dataCellStyle="Normal">
      <calculatedColumnFormula>IF(AND(tbl_Exh9[[#This Row],[CSR Silver Load]]&lt;&gt;"",tbl_Exh9[[#This Row],[CSR Silver Load]]&lt;&gt;1),1.435,"")</calculatedColumnFormula>
    </tableColumn>
  </tableColumns>
  <tableStyleInfo name="TableStyleMedium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E6A1D31-B333-438E-AFCE-2FE0ECD7D49A}" name="tbl_Exh98" displayName="tbl_Exh98" ref="A10:L18" totalsRowShown="0" headerRowDxfId="45" dataDxfId="43" headerRowBorderDxfId="44" dataCellStyle="Normal">
  <autoFilter ref="A10:L18" xr:uid="{C4C2525C-B934-4F03-B3C5-DA402A490ADF}"/>
  <tableColumns count="12">
    <tableColumn id="1" xr3:uid="{9F092D40-BC55-47A1-A60E-4C7CB89EAC8E}" name="HIOS Plan ID" dataDxfId="42" dataCellStyle="Normal"/>
    <tableColumn id="15" xr3:uid="{2FCB360B-4B5A-491F-85E9-0EB5A1190940}" name="Metal Level" dataDxfId="41"/>
    <tableColumn id="2" xr3:uid="{D393EC8D-D392-4F02-B33E-6FBCB98729AD}" name="2026 Plan Category_x000a_(New, Renewing, Terminated)" dataDxfId="40"/>
    <tableColumn id="3" xr3:uid="{2D3B3299-C835-442A-8299-F438C954A433}" name="Exchange Plan?" dataDxfId="39"/>
    <tableColumn id="4" xr3:uid="{E808FAE8-37C3-452C-A333-FD4ED11B11C2}" name="Requesting Expanded AV Pricing Value Range" dataDxfId="38"/>
    <tableColumn id="21" xr3:uid="{846EC656-C96C-4D35-9FF4-B5DCD3E350B8}" name="AV Metal Value" dataDxfId="37"/>
    <tableColumn id="24" xr3:uid="{D2CC9A30-DFBC-4179-B772-9B7C8163D310}" name="AV Pricing Value" dataDxfId="36"/>
    <tableColumn id="5" xr3:uid="{73F97F80-7526-477A-8E95-E81324E9AD54}" name="Induced Demand Factor_x000a_(IDF)" dataDxfId="35" dataCellStyle="Normal">
      <calculatedColumnFormula>tbl_Exh98[[#This Row],[AV Pricing Value]]^2-tbl_Exh98[[#This Row],[AV Pricing Value]]+1.24</calculatedColumnFormula>
    </tableColumn>
    <tableColumn id="6" xr3:uid="{F8EB5BCD-6C91-4370-8AA1-9FE38510C553}" name="CSR Silver Load" dataDxfId="34" dataCellStyle="Normal"/>
    <tableColumn id="25" xr3:uid="{B74996CE-EAED-46EA-826A-BA1ACF915C32}" name="Check_x000a_AV Pricing Value within 2% (or 3%)_x000a_of AV Metal Value" dataDxfId="33" dataCellStyle="Percent">
      <calculatedColumnFormula>tbl_Exh98[[#This Row],[AV Pricing Value]]-tbl_Exh98[[#This Row],[AV Metal Value]]</calculatedColumnFormula>
    </tableColumn>
    <tableColumn id="26" xr3:uid="{B42B614D-2612-43DF-AB57-6AC7FEB5D67A}" name="Check _x000a_Expected Risk Adjustment IDF" dataDxfId="32" dataCellStyle="Normal">
      <calculatedColumnFormula>IF(tbl_Exh98[[#This Row],[AV Pricing Value]]="","",tbl_Exh98[[#This Row],[AV Pricing Value]]^2-tbl_Exh98[[#This Row],[AV Pricing Value]]+1.24)</calculatedColumnFormula>
    </tableColumn>
    <tableColumn id="27" xr3:uid="{0A16F30D-683B-4FD9-8BE4-09E4EB62329D}" name="Check_x000a_CSR Silver Load" dataDxfId="31" dataCellStyle="Normal">
      <calculatedColumnFormula>IF(AND(tbl_Exh98[[#This Row],[CSR Silver Load]]&lt;&gt;"",tbl_Exh98[[#This Row],[CSR Silver Load]]&lt;&gt;1),1.435,"")</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6909-BA0D-4DEF-ACD4-7F1077235220}">
  <sheetPr codeName="Sheet2">
    <tabColor theme="0" tint="-0.499984740745262"/>
  </sheetPr>
  <dimension ref="A1:B25"/>
  <sheetViews>
    <sheetView topLeftCell="A3" workbookViewId="0">
      <selection activeCell="M43" sqref="M43"/>
    </sheetView>
  </sheetViews>
  <sheetFormatPr defaultRowHeight="12" x14ac:dyDescent="0.2"/>
  <cols>
    <col min="1" max="1" width="16" style="276" customWidth="1"/>
    <col min="2" max="16384" width="9.140625" style="276"/>
  </cols>
  <sheetData>
    <row r="1" spans="1:2" x14ac:dyDescent="0.2">
      <c r="A1" s="277" t="s">
        <v>0</v>
      </c>
    </row>
    <row r="2" spans="1:2" x14ac:dyDescent="0.2">
      <c r="A2" s="278" t="s">
        <v>1</v>
      </c>
    </row>
    <row r="3" spans="1:2" ht="12.75" thickBot="1" x14ac:dyDescent="0.25">
      <c r="A3" s="279" t="s">
        <v>2</v>
      </c>
    </row>
    <row r="5" spans="1:2" ht="15" x14ac:dyDescent="0.25">
      <c r="A5" s="364" t="s">
        <v>3</v>
      </c>
      <c r="B5" s="365" t="s">
        <v>4</v>
      </c>
    </row>
    <row r="6" spans="1:2" ht="15" x14ac:dyDescent="0.25">
      <c r="A6" s="366" t="s">
        <v>5</v>
      </c>
      <c r="B6" s="367">
        <v>1</v>
      </c>
    </row>
    <row r="7" spans="1:2" ht="15" x14ac:dyDescent="0.25">
      <c r="A7" s="366" t="s">
        <v>6</v>
      </c>
      <c r="B7" s="367">
        <v>1</v>
      </c>
    </row>
    <row r="8" spans="1:2" ht="15" x14ac:dyDescent="0.25">
      <c r="A8" s="366" t="s">
        <v>7</v>
      </c>
      <c r="B8" s="367">
        <v>1.03</v>
      </c>
    </row>
    <row r="9" spans="1:2" ht="15" x14ac:dyDescent="0.25">
      <c r="A9" s="366" t="s">
        <v>8</v>
      </c>
      <c r="B9" s="367">
        <v>1.08</v>
      </c>
    </row>
    <row r="10" spans="1:2" ht="15" x14ac:dyDescent="0.25">
      <c r="A10" s="368" t="s">
        <v>9</v>
      </c>
      <c r="B10" s="369">
        <v>1.1499999999999999</v>
      </c>
    </row>
    <row r="13" spans="1:2" ht="15" x14ac:dyDescent="0.25">
      <c r="A13" s="375" t="s">
        <v>10</v>
      </c>
      <c r="B13" s="372" t="s">
        <v>11</v>
      </c>
    </row>
    <row r="14" spans="1:2" ht="15" x14ac:dyDescent="0.2">
      <c r="A14" s="373" t="s">
        <v>12</v>
      </c>
    </row>
    <row r="15" spans="1:2" ht="15" x14ac:dyDescent="0.2">
      <c r="A15" s="374" t="s">
        <v>13</v>
      </c>
    </row>
    <row r="16" spans="1:2" ht="15" x14ac:dyDescent="0.2">
      <c r="A16" s="373" t="s">
        <v>14</v>
      </c>
    </row>
    <row r="19" spans="1:1" x14ac:dyDescent="0.2">
      <c r="A19" s="276" t="s">
        <v>15</v>
      </c>
    </row>
    <row r="20" spans="1:1" x14ac:dyDescent="0.2">
      <c r="A20" s="276" t="s">
        <v>16</v>
      </c>
    </row>
    <row r="21" spans="1:1" x14ac:dyDescent="0.2">
      <c r="A21" s="276" t="s">
        <v>17</v>
      </c>
    </row>
    <row r="22" spans="1:1" x14ac:dyDescent="0.2">
      <c r="A22" s="276" t="s">
        <v>18</v>
      </c>
    </row>
    <row r="23" spans="1:1" x14ac:dyDescent="0.2">
      <c r="A23" s="276" t="s">
        <v>19</v>
      </c>
    </row>
    <row r="24" spans="1:1" x14ac:dyDescent="0.2">
      <c r="A24" s="276" t="s">
        <v>20</v>
      </c>
    </row>
    <row r="25" spans="1:1" x14ac:dyDescent="0.2">
      <c r="A25" s="276" t="s">
        <v>21</v>
      </c>
    </row>
  </sheetData>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02990-023A-45E8-8453-EF5862F18BE5}">
  <sheetPr>
    <tabColor theme="0" tint="-0.499984740745262"/>
  </sheetPr>
  <dimension ref="A1:A26"/>
  <sheetViews>
    <sheetView showGridLines="0" tabSelected="1" workbookViewId="0">
      <pane ySplit="4" topLeftCell="A5" activePane="bottomLeft" state="frozen"/>
      <selection pane="bottomLeft" activeCell="A11" sqref="A11"/>
    </sheetView>
  </sheetViews>
  <sheetFormatPr defaultColWidth="0" defaultRowHeight="15" zeroHeight="1" x14ac:dyDescent="0.25"/>
  <cols>
    <col min="1" max="1" width="115.85546875" style="363" customWidth="1"/>
    <col min="2" max="16384" width="9.140625" hidden="1"/>
  </cols>
  <sheetData>
    <row r="1" spans="1:1" ht="62.25" customHeight="1" x14ac:dyDescent="0.25"/>
    <row r="2" spans="1:1" ht="23.25" x14ac:dyDescent="0.35">
      <c r="A2" s="599" t="s">
        <v>22</v>
      </c>
    </row>
    <row r="3" spans="1:1" ht="23.25" x14ac:dyDescent="0.35">
      <c r="A3" s="599" t="s">
        <v>23</v>
      </c>
    </row>
    <row r="4" spans="1:1" ht="23.25" x14ac:dyDescent="0.35">
      <c r="A4" s="599" t="s">
        <v>24</v>
      </c>
    </row>
    <row r="5" spans="1:1" x14ac:dyDescent="0.25"/>
    <row r="6" spans="1:1" ht="20.25" thickBot="1" x14ac:dyDescent="0.35">
      <c r="A6" s="597" t="s">
        <v>25</v>
      </c>
    </row>
    <row r="7" spans="1:1" ht="30.75" thickTop="1" x14ac:dyDescent="0.25">
      <c r="A7" s="603" t="s">
        <v>26</v>
      </c>
    </row>
    <row r="8" spans="1:1" x14ac:dyDescent="0.25"/>
    <row r="9" spans="1:1" ht="20.25" thickBot="1" x14ac:dyDescent="0.35">
      <c r="A9" s="597" t="s">
        <v>27</v>
      </c>
    </row>
    <row r="10" spans="1:1" ht="15.75" thickTop="1" x14ac:dyDescent="0.25">
      <c r="A10" s="598" t="s">
        <v>28</v>
      </c>
    </row>
    <row r="11" spans="1:1" ht="45" x14ac:dyDescent="0.25">
      <c r="A11" s="603" t="s">
        <v>321</v>
      </c>
    </row>
    <row r="12" spans="1:1" x14ac:dyDescent="0.25">
      <c r="A12" s="598" t="s">
        <v>29</v>
      </c>
    </row>
    <row r="13" spans="1:1" ht="30" x14ac:dyDescent="0.25">
      <c r="A13" s="603" t="s">
        <v>322</v>
      </c>
    </row>
    <row r="14" spans="1:1" x14ac:dyDescent="0.25">
      <c r="A14" s="598" t="s">
        <v>30</v>
      </c>
    </row>
    <row r="15" spans="1:1" ht="60" x14ac:dyDescent="0.25">
      <c r="A15" s="603" t="s">
        <v>323</v>
      </c>
    </row>
    <row r="16" spans="1:1" x14ac:dyDescent="0.25">
      <c r="A16" s="596" t="s">
        <v>31</v>
      </c>
    </row>
    <row r="17" spans="1:1" ht="30" x14ac:dyDescent="0.25">
      <c r="A17" s="603" t="s">
        <v>319</v>
      </c>
    </row>
    <row r="18" spans="1:1" x14ac:dyDescent="0.25">
      <c r="A18" s="598" t="s">
        <v>32</v>
      </c>
    </row>
    <row r="19" spans="1:1" ht="30" x14ac:dyDescent="0.25">
      <c r="A19" s="603" t="s">
        <v>33</v>
      </c>
    </row>
    <row r="20" spans="1:1" x14ac:dyDescent="0.25"/>
    <row r="21" spans="1:1" ht="20.25" thickBot="1" x14ac:dyDescent="0.35">
      <c r="A21" s="597" t="s">
        <v>34</v>
      </c>
    </row>
    <row r="22" spans="1:1" ht="15.75" thickTop="1" x14ac:dyDescent="0.25">
      <c r="A22" s="598" t="s">
        <v>35</v>
      </c>
    </row>
    <row r="23" spans="1:1" ht="51.75" customHeight="1" x14ac:dyDescent="0.25">
      <c r="A23" s="604" t="s">
        <v>320</v>
      </c>
    </row>
    <row r="24" spans="1:1" ht="50.25" customHeight="1" x14ac:dyDescent="0.25">
      <c r="A24" s="604" t="s">
        <v>36</v>
      </c>
    </row>
    <row r="25" spans="1:1" ht="81" customHeight="1" x14ac:dyDescent="0.25">
      <c r="A25" s="604" t="s">
        <v>324</v>
      </c>
    </row>
    <row r="26" spans="1:1" ht="69.75" customHeight="1" x14ac:dyDescent="0.25">
      <c r="A26" s="604" t="s">
        <v>325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437A8-CA3C-4BCF-8A51-4B75EBA0B136}">
  <sheetPr codeName="Sheet6">
    <tabColor theme="9" tint="-0.499984740745262"/>
    <pageSetUpPr fitToPage="1"/>
  </sheetPr>
  <dimension ref="A1:T53"/>
  <sheetViews>
    <sheetView showGridLines="0" topLeftCell="A4" zoomScale="70" zoomScaleNormal="70" workbookViewId="0">
      <selection activeCell="B7" sqref="B7"/>
    </sheetView>
  </sheetViews>
  <sheetFormatPr defaultRowHeight="15" x14ac:dyDescent="0.25"/>
  <cols>
    <col min="1" max="1" width="46" customWidth="1"/>
    <col min="2" max="2" width="13.7109375" customWidth="1"/>
    <col min="3" max="3" width="16.7109375" customWidth="1"/>
    <col min="4" max="4" width="15.85546875" customWidth="1"/>
    <col min="5" max="5" width="19.5703125" customWidth="1"/>
    <col min="6" max="7" width="10.85546875" bestFit="1" customWidth="1"/>
    <col min="8" max="8" width="11.85546875" bestFit="1" customWidth="1"/>
    <col min="9" max="9" width="2.7109375" customWidth="1"/>
    <col min="10" max="11" width="11.7109375" customWidth="1"/>
    <col min="12" max="12" width="15.140625" customWidth="1"/>
    <col min="13" max="14" width="12" customWidth="1"/>
    <col min="15" max="15" width="14.28515625" customWidth="1"/>
    <col min="16" max="16" width="14" customWidth="1"/>
    <col min="19" max="19" width="11" customWidth="1"/>
    <col min="20" max="20" width="12.7109375" customWidth="1"/>
  </cols>
  <sheetData>
    <row r="1" spans="1:20" ht="26.25" x14ac:dyDescent="0.4">
      <c r="A1" s="270" t="s">
        <v>37</v>
      </c>
    </row>
    <row r="2" spans="1:20" x14ac:dyDescent="0.25">
      <c r="A2" s="264"/>
    </row>
    <row r="3" spans="1:20" ht="21" x14ac:dyDescent="0.35">
      <c r="A3" s="98" t="s">
        <v>38</v>
      </c>
      <c r="B3" s="82"/>
      <c r="E3" s="607" t="s">
        <v>39</v>
      </c>
      <c r="F3" s="608"/>
      <c r="G3" s="608"/>
      <c r="H3" s="608"/>
      <c r="I3" s="608"/>
      <c r="J3" s="608"/>
      <c r="K3" s="608"/>
      <c r="L3" s="608"/>
      <c r="M3" s="608"/>
      <c r="N3" s="608"/>
      <c r="O3" s="608"/>
      <c r="P3" s="608"/>
      <c r="Q3" s="608"/>
      <c r="R3" s="608"/>
      <c r="S3" s="608"/>
      <c r="T3" s="609"/>
    </row>
    <row r="4" spans="1:20" ht="21" x14ac:dyDescent="0.35">
      <c r="A4" s="98" t="s">
        <v>0</v>
      </c>
      <c r="B4" s="82"/>
      <c r="E4" s="607" t="s">
        <v>1</v>
      </c>
      <c r="F4" s="608"/>
      <c r="G4" s="608"/>
      <c r="H4" s="608"/>
      <c r="I4" s="608"/>
      <c r="J4" s="608"/>
      <c r="K4" s="608"/>
      <c r="L4" s="608"/>
      <c r="M4" s="608"/>
      <c r="N4" s="608"/>
      <c r="O4" s="608"/>
      <c r="P4" s="608"/>
      <c r="Q4" s="608"/>
      <c r="R4" s="608"/>
      <c r="S4" s="608"/>
      <c r="T4" s="609"/>
    </row>
    <row r="5" spans="1:20" ht="21" x14ac:dyDescent="0.35">
      <c r="A5" s="98" t="s">
        <v>40</v>
      </c>
      <c r="B5" s="82"/>
      <c r="E5" s="607">
        <v>2026</v>
      </c>
      <c r="F5" s="608"/>
      <c r="G5" s="608"/>
      <c r="H5" s="608"/>
      <c r="I5" s="608"/>
      <c r="J5" s="608"/>
      <c r="K5" s="608"/>
      <c r="L5" s="608"/>
      <c r="M5" s="608"/>
      <c r="N5" s="608"/>
      <c r="O5" s="608"/>
      <c r="P5" s="608"/>
      <c r="Q5" s="608"/>
      <c r="R5" s="608"/>
      <c r="S5" s="608"/>
      <c r="T5" s="609"/>
    </row>
    <row r="6" spans="1:20" ht="18.75" x14ac:dyDescent="0.3">
      <c r="A6" s="98" t="s">
        <v>41</v>
      </c>
      <c r="B6" s="82"/>
      <c r="E6" s="610">
        <f>ExperYear</f>
        <v>2024</v>
      </c>
      <c r="F6" s="610"/>
      <c r="G6" s="610"/>
      <c r="H6" s="610"/>
      <c r="I6" s="610"/>
      <c r="J6" s="610"/>
      <c r="K6" s="610"/>
      <c r="L6" s="610"/>
      <c r="M6" s="610"/>
      <c r="N6" s="610"/>
      <c r="O6" s="610"/>
      <c r="P6" s="610"/>
      <c r="Q6" s="610"/>
      <c r="R6" s="610"/>
      <c r="S6" s="610"/>
      <c r="T6" s="610"/>
    </row>
    <row r="7" spans="1:20" x14ac:dyDescent="0.25">
      <c r="A7" s="264"/>
    </row>
    <row r="8" spans="1:20" ht="18.75" x14ac:dyDescent="0.3">
      <c r="A8" s="50"/>
    </row>
    <row r="9" spans="1:20" ht="15" customHeight="1" x14ac:dyDescent="0.25">
      <c r="A9" s="423" t="str">
        <f>ExperYear&amp;" CLAIMS BUILD-UP, TOTAL"</f>
        <v>2024 CLAIMS BUILD-UP, TOTAL</v>
      </c>
      <c r="B9" s="424"/>
      <c r="C9" s="424"/>
      <c r="D9" s="424"/>
      <c r="E9" s="424"/>
      <c r="F9" s="424"/>
      <c r="G9" s="424"/>
      <c r="H9" s="424"/>
      <c r="I9" s="82"/>
      <c r="J9" s="423" t="str">
        <f>ExperYear&amp;" ULTIMATE ALLOWED CLAIMS, TOTAL"</f>
        <v>2024 ULTIMATE ALLOWED CLAIMS, TOTAL</v>
      </c>
      <c r="K9" s="424"/>
      <c r="L9" s="424"/>
      <c r="M9" s="424"/>
      <c r="N9" s="424"/>
      <c r="O9" s="424"/>
      <c r="P9" s="424"/>
      <c r="Q9" s="424"/>
      <c r="R9" s="424"/>
      <c r="S9" s="424"/>
      <c r="T9" s="424"/>
    </row>
    <row r="10" spans="1:20" ht="63" x14ac:dyDescent="0.25">
      <c r="A10" s="486" t="s">
        <v>42</v>
      </c>
      <c r="B10" s="486" t="s">
        <v>43</v>
      </c>
      <c r="C10" s="486" t="s">
        <v>44</v>
      </c>
      <c r="D10" s="486" t="s">
        <v>45</v>
      </c>
      <c r="E10" s="486" t="s">
        <v>46</v>
      </c>
      <c r="F10" s="486" t="s">
        <v>47</v>
      </c>
      <c r="G10" s="486" t="s">
        <v>48</v>
      </c>
      <c r="H10" s="486" t="s">
        <v>49</v>
      </c>
      <c r="I10" s="82"/>
      <c r="J10" s="486" t="s">
        <v>50</v>
      </c>
      <c r="K10" s="486" t="s">
        <v>51</v>
      </c>
      <c r="L10" s="486" t="s">
        <v>52</v>
      </c>
      <c r="M10" s="486" t="s">
        <v>53</v>
      </c>
      <c r="N10" s="486" t="s">
        <v>54</v>
      </c>
      <c r="O10" s="486" t="s">
        <v>55</v>
      </c>
      <c r="P10" s="486" t="s">
        <v>56</v>
      </c>
      <c r="Q10" s="486" t="s">
        <v>57</v>
      </c>
      <c r="R10" s="486" t="s">
        <v>58</v>
      </c>
      <c r="S10" s="486" t="s">
        <v>59</v>
      </c>
      <c r="T10" s="486" t="s">
        <v>60</v>
      </c>
    </row>
    <row r="11" spans="1:20" ht="15.75" x14ac:dyDescent="0.25">
      <c r="A11" s="303" t="str">
        <f>ExperYear&amp;"01"</f>
        <v>202401</v>
      </c>
      <c r="B11" s="487">
        <v>0</v>
      </c>
      <c r="C11" s="488">
        <v>0</v>
      </c>
      <c r="D11" s="489">
        <v>0</v>
      </c>
      <c r="E11" s="490">
        <f>C11+D11</f>
        <v>0</v>
      </c>
      <c r="F11" s="488">
        <v>0</v>
      </c>
      <c r="G11" s="489">
        <v>0</v>
      </c>
      <c r="H11" s="490">
        <f>F11+G11</f>
        <v>0</v>
      </c>
      <c r="I11" s="82"/>
      <c r="J11" s="488">
        <v>0</v>
      </c>
      <c r="K11" s="489">
        <v>0</v>
      </c>
      <c r="L11" s="489">
        <v>0</v>
      </c>
      <c r="M11" s="489">
        <v>0</v>
      </c>
      <c r="N11" s="489">
        <v>0</v>
      </c>
      <c r="O11" s="489">
        <v>0</v>
      </c>
      <c r="P11" s="489">
        <v>0</v>
      </c>
      <c r="Q11" s="491">
        <v>0</v>
      </c>
      <c r="R11" s="492">
        <f>S11-Q11</f>
        <v>0</v>
      </c>
      <c r="S11" s="492">
        <f>SUM(J11:Q11)</f>
        <v>0</v>
      </c>
      <c r="T11" s="493">
        <f>H11-S11</f>
        <v>0</v>
      </c>
    </row>
    <row r="12" spans="1:20" ht="15.75" x14ac:dyDescent="0.25">
      <c r="A12" s="494">
        <f>A11+1</f>
        <v>202402</v>
      </c>
      <c r="B12" s="495">
        <v>0</v>
      </c>
      <c r="C12" s="496">
        <v>0</v>
      </c>
      <c r="D12" s="497">
        <v>0</v>
      </c>
      <c r="E12" s="498">
        <f t="shared" ref="E12:E22" si="0">C12+D12</f>
        <v>0</v>
      </c>
      <c r="F12" s="496">
        <v>0</v>
      </c>
      <c r="G12" s="497">
        <v>0</v>
      </c>
      <c r="H12" s="498">
        <f t="shared" ref="H12:H22" si="1">F12+G12</f>
        <v>0</v>
      </c>
      <c r="I12" s="82"/>
      <c r="J12" s="496">
        <v>0</v>
      </c>
      <c r="K12" s="497">
        <v>0</v>
      </c>
      <c r="L12" s="497">
        <v>0</v>
      </c>
      <c r="M12" s="497">
        <v>0</v>
      </c>
      <c r="N12" s="497">
        <v>0</v>
      </c>
      <c r="O12" s="497">
        <v>0</v>
      </c>
      <c r="P12" s="497">
        <v>0</v>
      </c>
      <c r="Q12" s="499">
        <v>0</v>
      </c>
      <c r="R12" s="500">
        <f t="shared" ref="R12:R22" si="2">S12-Q12</f>
        <v>0</v>
      </c>
      <c r="S12" s="500">
        <f t="shared" ref="S12:S22" si="3">SUM(J12:Q12)</f>
        <v>0</v>
      </c>
      <c r="T12" s="501">
        <f t="shared" ref="T12:T22" si="4">H12-S12</f>
        <v>0</v>
      </c>
    </row>
    <row r="13" spans="1:20" ht="15.75" x14ac:dyDescent="0.25">
      <c r="A13" s="303">
        <f t="shared" ref="A13:A22" si="5">A12+1</f>
        <v>202403</v>
      </c>
      <c r="B13" s="502">
        <v>0</v>
      </c>
      <c r="C13" s="503">
        <v>0</v>
      </c>
      <c r="D13" s="504">
        <v>0</v>
      </c>
      <c r="E13" s="505">
        <f t="shared" si="0"/>
        <v>0</v>
      </c>
      <c r="F13" s="503">
        <v>0</v>
      </c>
      <c r="G13" s="504">
        <v>0</v>
      </c>
      <c r="H13" s="505">
        <f t="shared" si="1"/>
        <v>0</v>
      </c>
      <c r="I13" s="82"/>
      <c r="J13" s="503">
        <v>0</v>
      </c>
      <c r="K13" s="504">
        <v>0</v>
      </c>
      <c r="L13" s="504">
        <v>0</v>
      </c>
      <c r="M13" s="504">
        <v>0</v>
      </c>
      <c r="N13" s="504">
        <v>0</v>
      </c>
      <c r="O13" s="504">
        <v>0</v>
      </c>
      <c r="P13" s="504">
        <v>0</v>
      </c>
      <c r="Q13" s="506">
        <v>0</v>
      </c>
      <c r="R13" s="492">
        <f t="shared" si="2"/>
        <v>0</v>
      </c>
      <c r="S13" s="492">
        <f t="shared" si="3"/>
        <v>0</v>
      </c>
      <c r="T13" s="507">
        <f t="shared" si="4"/>
        <v>0</v>
      </c>
    </row>
    <row r="14" spans="1:20" ht="15.75" x14ac:dyDescent="0.25">
      <c r="A14" s="494">
        <f t="shared" si="5"/>
        <v>202404</v>
      </c>
      <c r="B14" s="495">
        <v>0</v>
      </c>
      <c r="C14" s="496">
        <v>0</v>
      </c>
      <c r="D14" s="497">
        <v>0</v>
      </c>
      <c r="E14" s="498">
        <f t="shared" si="0"/>
        <v>0</v>
      </c>
      <c r="F14" s="496">
        <v>0</v>
      </c>
      <c r="G14" s="497">
        <v>0</v>
      </c>
      <c r="H14" s="498">
        <f t="shared" si="1"/>
        <v>0</v>
      </c>
      <c r="I14" s="82"/>
      <c r="J14" s="496">
        <v>0</v>
      </c>
      <c r="K14" s="497">
        <v>0</v>
      </c>
      <c r="L14" s="497">
        <v>0</v>
      </c>
      <c r="M14" s="497">
        <v>0</v>
      </c>
      <c r="N14" s="497">
        <v>0</v>
      </c>
      <c r="O14" s="497">
        <v>0</v>
      </c>
      <c r="P14" s="497">
        <v>0</v>
      </c>
      <c r="Q14" s="499">
        <v>0</v>
      </c>
      <c r="R14" s="500">
        <f t="shared" si="2"/>
        <v>0</v>
      </c>
      <c r="S14" s="500">
        <f t="shared" si="3"/>
        <v>0</v>
      </c>
      <c r="T14" s="501">
        <f t="shared" si="4"/>
        <v>0</v>
      </c>
    </row>
    <row r="15" spans="1:20" ht="15.75" x14ac:dyDescent="0.25">
      <c r="A15" s="303">
        <f t="shared" si="5"/>
        <v>202405</v>
      </c>
      <c r="B15" s="502">
        <v>0</v>
      </c>
      <c r="C15" s="503">
        <v>0</v>
      </c>
      <c r="D15" s="504">
        <v>0</v>
      </c>
      <c r="E15" s="505">
        <f t="shared" si="0"/>
        <v>0</v>
      </c>
      <c r="F15" s="503">
        <v>0</v>
      </c>
      <c r="G15" s="504">
        <v>0</v>
      </c>
      <c r="H15" s="505">
        <f t="shared" si="1"/>
        <v>0</v>
      </c>
      <c r="I15" s="82"/>
      <c r="J15" s="503">
        <v>0</v>
      </c>
      <c r="K15" s="504">
        <v>0</v>
      </c>
      <c r="L15" s="504">
        <v>0</v>
      </c>
      <c r="M15" s="504">
        <v>0</v>
      </c>
      <c r="N15" s="504">
        <v>0</v>
      </c>
      <c r="O15" s="504">
        <v>0</v>
      </c>
      <c r="P15" s="504">
        <v>0</v>
      </c>
      <c r="Q15" s="506">
        <v>0</v>
      </c>
      <c r="R15" s="492">
        <f t="shared" si="2"/>
        <v>0</v>
      </c>
      <c r="S15" s="492">
        <f t="shared" si="3"/>
        <v>0</v>
      </c>
      <c r="T15" s="507">
        <f t="shared" si="4"/>
        <v>0</v>
      </c>
    </row>
    <row r="16" spans="1:20" ht="15.75" x14ac:dyDescent="0.25">
      <c r="A16" s="494">
        <f t="shared" si="5"/>
        <v>202406</v>
      </c>
      <c r="B16" s="495">
        <v>0</v>
      </c>
      <c r="C16" s="496">
        <v>0</v>
      </c>
      <c r="D16" s="497">
        <v>0</v>
      </c>
      <c r="E16" s="498">
        <f t="shared" si="0"/>
        <v>0</v>
      </c>
      <c r="F16" s="496">
        <v>0</v>
      </c>
      <c r="G16" s="497">
        <v>0</v>
      </c>
      <c r="H16" s="498">
        <f t="shared" si="1"/>
        <v>0</v>
      </c>
      <c r="I16" s="82"/>
      <c r="J16" s="496">
        <v>0</v>
      </c>
      <c r="K16" s="497">
        <v>0</v>
      </c>
      <c r="L16" s="497">
        <v>0</v>
      </c>
      <c r="M16" s="497">
        <v>0</v>
      </c>
      <c r="N16" s="497">
        <v>0</v>
      </c>
      <c r="O16" s="497">
        <v>0</v>
      </c>
      <c r="P16" s="497">
        <v>0</v>
      </c>
      <c r="Q16" s="499">
        <v>0</v>
      </c>
      <c r="R16" s="500">
        <f t="shared" si="2"/>
        <v>0</v>
      </c>
      <c r="S16" s="500">
        <f t="shared" si="3"/>
        <v>0</v>
      </c>
      <c r="T16" s="501">
        <f t="shared" si="4"/>
        <v>0</v>
      </c>
    </row>
    <row r="17" spans="1:20" ht="15.75" x14ac:dyDescent="0.25">
      <c r="A17" s="303">
        <f t="shared" si="5"/>
        <v>202407</v>
      </c>
      <c r="B17" s="502">
        <v>0</v>
      </c>
      <c r="C17" s="503">
        <v>0</v>
      </c>
      <c r="D17" s="504">
        <v>0</v>
      </c>
      <c r="E17" s="505">
        <f t="shared" si="0"/>
        <v>0</v>
      </c>
      <c r="F17" s="503">
        <v>0</v>
      </c>
      <c r="G17" s="504">
        <v>0</v>
      </c>
      <c r="H17" s="505">
        <f t="shared" si="1"/>
        <v>0</v>
      </c>
      <c r="I17" s="82"/>
      <c r="J17" s="503">
        <v>0</v>
      </c>
      <c r="K17" s="504">
        <v>0</v>
      </c>
      <c r="L17" s="504">
        <v>0</v>
      </c>
      <c r="M17" s="504">
        <v>0</v>
      </c>
      <c r="N17" s="504">
        <v>0</v>
      </c>
      <c r="O17" s="504">
        <v>0</v>
      </c>
      <c r="P17" s="504">
        <v>0</v>
      </c>
      <c r="Q17" s="506">
        <v>0</v>
      </c>
      <c r="R17" s="492">
        <f t="shared" si="2"/>
        <v>0</v>
      </c>
      <c r="S17" s="492">
        <f t="shared" si="3"/>
        <v>0</v>
      </c>
      <c r="T17" s="507">
        <f t="shared" si="4"/>
        <v>0</v>
      </c>
    </row>
    <row r="18" spans="1:20" ht="15.75" x14ac:dyDescent="0.25">
      <c r="A18" s="494">
        <f t="shared" si="5"/>
        <v>202408</v>
      </c>
      <c r="B18" s="495">
        <v>0</v>
      </c>
      <c r="C18" s="496">
        <v>0</v>
      </c>
      <c r="D18" s="497">
        <v>0</v>
      </c>
      <c r="E18" s="498">
        <f t="shared" si="0"/>
        <v>0</v>
      </c>
      <c r="F18" s="496">
        <v>0</v>
      </c>
      <c r="G18" s="497">
        <v>0</v>
      </c>
      <c r="H18" s="498">
        <f t="shared" si="1"/>
        <v>0</v>
      </c>
      <c r="I18" s="82"/>
      <c r="J18" s="496">
        <v>0</v>
      </c>
      <c r="K18" s="497">
        <v>0</v>
      </c>
      <c r="L18" s="497">
        <v>0</v>
      </c>
      <c r="M18" s="497">
        <v>0</v>
      </c>
      <c r="N18" s="497">
        <v>0</v>
      </c>
      <c r="O18" s="497">
        <v>0</v>
      </c>
      <c r="P18" s="497">
        <v>0</v>
      </c>
      <c r="Q18" s="499">
        <v>0</v>
      </c>
      <c r="R18" s="500">
        <f t="shared" si="2"/>
        <v>0</v>
      </c>
      <c r="S18" s="500">
        <f t="shared" si="3"/>
        <v>0</v>
      </c>
      <c r="T18" s="501">
        <f t="shared" si="4"/>
        <v>0</v>
      </c>
    </row>
    <row r="19" spans="1:20" ht="15.75" x14ac:dyDescent="0.25">
      <c r="A19" s="303">
        <f t="shared" si="5"/>
        <v>202409</v>
      </c>
      <c r="B19" s="502">
        <v>0</v>
      </c>
      <c r="C19" s="503">
        <v>0</v>
      </c>
      <c r="D19" s="504">
        <v>0</v>
      </c>
      <c r="E19" s="505">
        <f t="shared" si="0"/>
        <v>0</v>
      </c>
      <c r="F19" s="503">
        <v>0</v>
      </c>
      <c r="G19" s="504">
        <v>0</v>
      </c>
      <c r="H19" s="505">
        <f t="shared" si="1"/>
        <v>0</v>
      </c>
      <c r="I19" s="82"/>
      <c r="J19" s="503">
        <v>0</v>
      </c>
      <c r="K19" s="504">
        <v>0</v>
      </c>
      <c r="L19" s="504">
        <v>0</v>
      </c>
      <c r="M19" s="504">
        <v>0</v>
      </c>
      <c r="N19" s="504">
        <v>0</v>
      </c>
      <c r="O19" s="504">
        <v>0</v>
      </c>
      <c r="P19" s="504">
        <v>0</v>
      </c>
      <c r="Q19" s="506">
        <v>0</v>
      </c>
      <c r="R19" s="492">
        <f t="shared" si="2"/>
        <v>0</v>
      </c>
      <c r="S19" s="492">
        <f t="shared" si="3"/>
        <v>0</v>
      </c>
      <c r="T19" s="507">
        <f t="shared" si="4"/>
        <v>0</v>
      </c>
    </row>
    <row r="20" spans="1:20" ht="15.75" x14ac:dyDescent="0.25">
      <c r="A20" s="494">
        <f t="shared" si="5"/>
        <v>202410</v>
      </c>
      <c r="B20" s="495">
        <v>0</v>
      </c>
      <c r="C20" s="496">
        <v>0</v>
      </c>
      <c r="D20" s="497">
        <v>0</v>
      </c>
      <c r="E20" s="498">
        <f t="shared" si="0"/>
        <v>0</v>
      </c>
      <c r="F20" s="496">
        <v>0</v>
      </c>
      <c r="G20" s="497">
        <v>0</v>
      </c>
      <c r="H20" s="498">
        <f t="shared" si="1"/>
        <v>0</v>
      </c>
      <c r="I20" s="82"/>
      <c r="J20" s="496">
        <v>0</v>
      </c>
      <c r="K20" s="497">
        <v>0</v>
      </c>
      <c r="L20" s="497">
        <v>0</v>
      </c>
      <c r="M20" s="497">
        <v>0</v>
      </c>
      <c r="N20" s="497">
        <v>0</v>
      </c>
      <c r="O20" s="497">
        <v>0</v>
      </c>
      <c r="P20" s="497">
        <v>0</v>
      </c>
      <c r="Q20" s="499">
        <v>0</v>
      </c>
      <c r="R20" s="500">
        <f t="shared" si="2"/>
        <v>0</v>
      </c>
      <c r="S20" s="500">
        <f t="shared" si="3"/>
        <v>0</v>
      </c>
      <c r="T20" s="501">
        <f t="shared" si="4"/>
        <v>0</v>
      </c>
    </row>
    <row r="21" spans="1:20" ht="15.75" x14ac:dyDescent="0.25">
      <c r="A21" s="303">
        <f t="shared" si="5"/>
        <v>202411</v>
      </c>
      <c r="B21" s="502">
        <v>0</v>
      </c>
      <c r="C21" s="503">
        <v>0</v>
      </c>
      <c r="D21" s="504">
        <v>0</v>
      </c>
      <c r="E21" s="505">
        <f t="shared" si="0"/>
        <v>0</v>
      </c>
      <c r="F21" s="503">
        <v>0</v>
      </c>
      <c r="G21" s="504">
        <v>0</v>
      </c>
      <c r="H21" s="505">
        <f t="shared" si="1"/>
        <v>0</v>
      </c>
      <c r="I21" s="82"/>
      <c r="J21" s="503">
        <v>0</v>
      </c>
      <c r="K21" s="504">
        <v>0</v>
      </c>
      <c r="L21" s="504">
        <v>0</v>
      </c>
      <c r="M21" s="504">
        <v>0</v>
      </c>
      <c r="N21" s="504">
        <v>0</v>
      </c>
      <c r="O21" s="504">
        <v>0</v>
      </c>
      <c r="P21" s="504">
        <v>0</v>
      </c>
      <c r="Q21" s="506">
        <v>0</v>
      </c>
      <c r="R21" s="492">
        <f t="shared" si="2"/>
        <v>0</v>
      </c>
      <c r="S21" s="492">
        <f t="shared" si="3"/>
        <v>0</v>
      </c>
      <c r="T21" s="507">
        <f t="shared" si="4"/>
        <v>0</v>
      </c>
    </row>
    <row r="22" spans="1:20" ht="15.75" x14ac:dyDescent="0.25">
      <c r="A22" s="508">
        <f t="shared" si="5"/>
        <v>202412</v>
      </c>
      <c r="B22" s="509">
        <v>0</v>
      </c>
      <c r="C22" s="510">
        <v>0</v>
      </c>
      <c r="D22" s="511">
        <v>0</v>
      </c>
      <c r="E22" s="512">
        <f t="shared" si="0"/>
        <v>0</v>
      </c>
      <c r="F22" s="510">
        <v>0</v>
      </c>
      <c r="G22" s="511">
        <v>0</v>
      </c>
      <c r="H22" s="512">
        <f t="shared" si="1"/>
        <v>0</v>
      </c>
      <c r="I22" s="82"/>
      <c r="J22" s="510">
        <v>0</v>
      </c>
      <c r="K22" s="511">
        <v>0</v>
      </c>
      <c r="L22" s="511">
        <v>0</v>
      </c>
      <c r="M22" s="511">
        <v>0</v>
      </c>
      <c r="N22" s="511">
        <v>0</v>
      </c>
      <c r="O22" s="511">
        <v>0</v>
      </c>
      <c r="P22" s="511">
        <v>0</v>
      </c>
      <c r="Q22" s="513">
        <v>0</v>
      </c>
      <c r="R22" s="514">
        <f t="shared" si="2"/>
        <v>0</v>
      </c>
      <c r="S22" s="514">
        <f t="shared" si="3"/>
        <v>0</v>
      </c>
      <c r="T22" s="515">
        <f t="shared" si="4"/>
        <v>0</v>
      </c>
    </row>
    <row r="23" spans="1:20" ht="15.75" x14ac:dyDescent="0.25">
      <c r="A23" s="303" t="str">
        <f>"CY"&amp;ExperYear</f>
        <v>CY2024</v>
      </c>
      <c r="B23" s="516">
        <f t="shared" ref="B23:H23" si="6">SUM(B11:B22)</f>
        <v>0</v>
      </c>
      <c r="C23" s="517">
        <f t="shared" si="6"/>
        <v>0</v>
      </c>
      <c r="D23" s="492">
        <f t="shared" si="6"/>
        <v>0</v>
      </c>
      <c r="E23" s="505">
        <f t="shared" si="6"/>
        <v>0</v>
      </c>
      <c r="F23" s="517">
        <f t="shared" si="6"/>
        <v>0</v>
      </c>
      <c r="G23" s="492">
        <f t="shared" si="6"/>
        <v>0</v>
      </c>
      <c r="H23" s="505">
        <f t="shared" si="6"/>
        <v>0</v>
      </c>
      <c r="I23" s="82"/>
      <c r="J23" s="517">
        <f>SUM(J11:J22)</f>
        <v>0</v>
      </c>
      <c r="K23" s="492">
        <f t="shared" ref="K23:Q23" si="7">SUM(K11:K22)</f>
        <v>0</v>
      </c>
      <c r="L23" s="492">
        <f t="shared" si="7"/>
        <v>0</v>
      </c>
      <c r="M23" s="492">
        <f t="shared" si="7"/>
        <v>0</v>
      </c>
      <c r="N23" s="492">
        <f t="shared" si="7"/>
        <v>0</v>
      </c>
      <c r="O23" s="492">
        <f t="shared" si="7"/>
        <v>0</v>
      </c>
      <c r="P23" s="518">
        <f t="shared" si="7"/>
        <v>0</v>
      </c>
      <c r="Q23" s="505">
        <f t="shared" si="7"/>
        <v>0</v>
      </c>
      <c r="R23" s="492">
        <f>S23-Q23</f>
        <v>0</v>
      </c>
      <c r="S23" s="492">
        <f>SUM(J23:Q23)</f>
        <v>0</v>
      </c>
      <c r="T23" s="507">
        <f>H23-S23</f>
        <v>0</v>
      </c>
    </row>
    <row r="24" spans="1:20" ht="15.75" x14ac:dyDescent="0.25">
      <c r="A24" s="82"/>
      <c r="B24" s="82"/>
      <c r="C24" s="82"/>
      <c r="D24" s="82"/>
      <c r="E24" s="82"/>
      <c r="F24" s="82"/>
      <c r="G24" s="82"/>
      <c r="H24" s="82"/>
      <c r="I24" s="82"/>
      <c r="J24" s="82"/>
      <c r="K24" s="82"/>
      <c r="L24" s="82"/>
      <c r="M24" s="82"/>
      <c r="N24" s="82"/>
      <c r="O24" s="82"/>
      <c r="P24" s="82"/>
      <c r="Q24" s="82"/>
      <c r="R24" s="82"/>
      <c r="S24" s="82"/>
      <c r="T24" s="82"/>
    </row>
    <row r="25" spans="1:20" ht="15.75" x14ac:dyDescent="0.25">
      <c r="A25" s="77"/>
      <c r="B25" s="82"/>
      <c r="C25" s="82"/>
      <c r="D25" s="82"/>
      <c r="E25" s="82"/>
      <c r="F25" s="82"/>
      <c r="G25" s="82"/>
      <c r="H25" s="82"/>
      <c r="I25" s="82"/>
      <c r="J25" s="82"/>
      <c r="K25" s="82"/>
      <c r="L25" s="82"/>
      <c r="M25" s="82"/>
      <c r="N25" s="82"/>
      <c r="O25" s="82"/>
      <c r="P25" s="82"/>
      <c r="Q25" s="82"/>
      <c r="R25" s="82"/>
      <c r="S25" s="82"/>
      <c r="T25" s="82"/>
    </row>
    <row r="26" spans="1:20" ht="15" customHeight="1" x14ac:dyDescent="0.25">
      <c r="A26" s="423" t="str">
        <f>ExperYear&amp;" CLAIMS BUILD-UP, PMPM"</f>
        <v>2024 CLAIMS BUILD-UP, PMPM</v>
      </c>
      <c r="B26" s="424"/>
      <c r="C26" s="424"/>
      <c r="D26" s="424"/>
      <c r="E26" s="424"/>
      <c r="F26" s="424"/>
      <c r="G26" s="424"/>
      <c r="H26" s="424"/>
      <c r="I26" s="82"/>
      <c r="J26" s="423" t="str">
        <f>ExperYear&amp;" ULTIMATE ALLOWED CLAIMS, PMPM"</f>
        <v>2024 ULTIMATE ALLOWED CLAIMS, PMPM</v>
      </c>
      <c r="K26" s="424"/>
      <c r="L26" s="424"/>
      <c r="M26" s="424"/>
      <c r="N26" s="424"/>
      <c r="O26" s="424"/>
      <c r="P26" s="424"/>
      <c r="Q26" s="424"/>
      <c r="R26" s="424"/>
      <c r="S26" s="424"/>
      <c r="T26" s="424"/>
    </row>
    <row r="27" spans="1:20" ht="63" x14ac:dyDescent="0.25">
      <c r="A27" s="486" t="s">
        <v>42</v>
      </c>
      <c r="B27" s="486" t="s">
        <v>43</v>
      </c>
      <c r="C27" s="486" t="s">
        <v>44</v>
      </c>
      <c r="D27" s="486" t="s">
        <v>45</v>
      </c>
      <c r="E27" s="486" t="s">
        <v>46</v>
      </c>
      <c r="F27" s="486" t="s">
        <v>47</v>
      </c>
      <c r="G27" s="486" t="s">
        <v>48</v>
      </c>
      <c r="H27" s="486" t="s">
        <v>49</v>
      </c>
      <c r="I27" s="82"/>
      <c r="J27" s="486" t="s">
        <v>50</v>
      </c>
      <c r="K27" s="486" t="s">
        <v>51</v>
      </c>
      <c r="L27" s="486" t="s">
        <v>52</v>
      </c>
      <c r="M27" s="486" t="s">
        <v>53</v>
      </c>
      <c r="N27" s="486" t="s">
        <v>54</v>
      </c>
      <c r="O27" s="486" t="s">
        <v>55</v>
      </c>
      <c r="P27" s="486" t="s">
        <v>56</v>
      </c>
      <c r="Q27" s="486" t="s">
        <v>57</v>
      </c>
      <c r="R27" s="486" t="s">
        <v>58</v>
      </c>
      <c r="S27" s="486" t="s">
        <v>59</v>
      </c>
      <c r="T27" s="486" t="s">
        <v>60</v>
      </c>
    </row>
    <row r="28" spans="1:20" ht="15.75" x14ac:dyDescent="0.25">
      <c r="A28" s="303" t="str">
        <f>A11</f>
        <v>202401</v>
      </c>
      <c r="B28" s="519"/>
      <c r="C28" s="520" t="str">
        <f t="shared" ref="C28:H29" si="8">IFERROR(C11/$B11,"-")</f>
        <v>-</v>
      </c>
      <c r="D28" s="521" t="str">
        <f t="shared" si="8"/>
        <v>-</v>
      </c>
      <c r="E28" s="522" t="str">
        <f t="shared" si="8"/>
        <v>-</v>
      </c>
      <c r="F28" s="520" t="str">
        <f t="shared" si="8"/>
        <v>-</v>
      </c>
      <c r="G28" s="521" t="str">
        <f t="shared" si="8"/>
        <v>-</v>
      </c>
      <c r="H28" s="522" t="str">
        <f t="shared" si="8"/>
        <v>-</v>
      </c>
      <c r="I28" s="523"/>
      <c r="J28" s="520" t="str">
        <f t="shared" ref="J28:T28" si="9">IFERROR(J11/$B11,"-")</f>
        <v>-</v>
      </c>
      <c r="K28" s="521" t="str">
        <f t="shared" si="9"/>
        <v>-</v>
      </c>
      <c r="L28" s="521" t="str">
        <f t="shared" si="9"/>
        <v>-</v>
      </c>
      <c r="M28" s="521" t="str">
        <f t="shared" si="9"/>
        <v>-</v>
      </c>
      <c r="N28" s="521" t="str">
        <f t="shared" si="9"/>
        <v>-</v>
      </c>
      <c r="O28" s="521" t="str">
        <f t="shared" si="9"/>
        <v>-</v>
      </c>
      <c r="P28" s="521" t="str">
        <f t="shared" si="9"/>
        <v>-</v>
      </c>
      <c r="Q28" s="522" t="str">
        <f t="shared" si="9"/>
        <v>-</v>
      </c>
      <c r="R28" s="520" t="str">
        <f t="shared" si="9"/>
        <v>-</v>
      </c>
      <c r="S28" s="522" t="str">
        <f t="shared" si="9"/>
        <v>-</v>
      </c>
      <c r="T28" s="524" t="str">
        <f t="shared" si="9"/>
        <v>-</v>
      </c>
    </row>
    <row r="29" spans="1:20" ht="15.75" x14ac:dyDescent="0.25">
      <c r="A29" s="494">
        <f t="shared" ref="A29:A39" si="10">A12</f>
        <v>202402</v>
      </c>
      <c r="B29" s="525"/>
      <c r="C29" s="526" t="str">
        <f t="shared" si="8"/>
        <v>-</v>
      </c>
      <c r="D29" s="527" t="str">
        <f t="shared" si="8"/>
        <v>-</v>
      </c>
      <c r="E29" s="528" t="str">
        <f t="shared" si="8"/>
        <v>-</v>
      </c>
      <c r="F29" s="526" t="str">
        <f t="shared" si="8"/>
        <v>-</v>
      </c>
      <c r="G29" s="527" t="str">
        <f t="shared" si="8"/>
        <v>-</v>
      </c>
      <c r="H29" s="528" t="str">
        <f t="shared" si="8"/>
        <v>-</v>
      </c>
      <c r="I29" s="523"/>
      <c r="J29" s="526" t="str">
        <f t="shared" ref="J29:T29" si="11">IFERROR(J12/$B12,"-")</f>
        <v>-</v>
      </c>
      <c r="K29" s="527" t="str">
        <f t="shared" si="11"/>
        <v>-</v>
      </c>
      <c r="L29" s="527" t="str">
        <f t="shared" si="11"/>
        <v>-</v>
      </c>
      <c r="M29" s="527" t="str">
        <f t="shared" si="11"/>
        <v>-</v>
      </c>
      <c r="N29" s="527" t="str">
        <f t="shared" si="11"/>
        <v>-</v>
      </c>
      <c r="O29" s="527" t="str">
        <f t="shared" si="11"/>
        <v>-</v>
      </c>
      <c r="P29" s="527" t="str">
        <f t="shared" si="11"/>
        <v>-</v>
      </c>
      <c r="Q29" s="528" t="str">
        <f t="shared" si="11"/>
        <v>-</v>
      </c>
      <c r="R29" s="526" t="str">
        <f t="shared" si="11"/>
        <v>-</v>
      </c>
      <c r="S29" s="528" t="str">
        <f t="shared" si="11"/>
        <v>-</v>
      </c>
      <c r="T29" s="529" t="str">
        <f t="shared" si="11"/>
        <v>-</v>
      </c>
    </row>
    <row r="30" spans="1:20" ht="15.75" x14ac:dyDescent="0.25">
      <c r="A30" s="303">
        <f t="shared" si="10"/>
        <v>202403</v>
      </c>
      <c r="B30" s="530"/>
      <c r="C30" s="531" t="str">
        <f t="shared" ref="C30:D40" si="12">IFERROR(C13/$B13,"-")</f>
        <v>-</v>
      </c>
      <c r="D30" s="532" t="str">
        <f t="shared" si="12"/>
        <v>-</v>
      </c>
      <c r="E30" s="533" t="str">
        <f t="shared" ref="E30:H30" si="13">IFERROR(E13/$B13,"-")</f>
        <v>-</v>
      </c>
      <c r="F30" s="531" t="str">
        <f t="shared" si="13"/>
        <v>-</v>
      </c>
      <c r="G30" s="532" t="str">
        <f t="shared" si="13"/>
        <v>-</v>
      </c>
      <c r="H30" s="533" t="str">
        <f t="shared" si="13"/>
        <v>-</v>
      </c>
      <c r="I30" s="523"/>
      <c r="J30" s="531" t="str">
        <f t="shared" ref="J30:T30" si="14">IFERROR(J13/$B13,"-")</f>
        <v>-</v>
      </c>
      <c r="K30" s="532" t="str">
        <f t="shared" si="14"/>
        <v>-</v>
      </c>
      <c r="L30" s="532" t="str">
        <f t="shared" si="14"/>
        <v>-</v>
      </c>
      <c r="M30" s="532" t="str">
        <f t="shared" si="14"/>
        <v>-</v>
      </c>
      <c r="N30" s="532" t="str">
        <f t="shared" si="14"/>
        <v>-</v>
      </c>
      <c r="O30" s="532" t="str">
        <f t="shared" si="14"/>
        <v>-</v>
      </c>
      <c r="P30" s="532" t="str">
        <f t="shared" si="14"/>
        <v>-</v>
      </c>
      <c r="Q30" s="533" t="str">
        <f t="shared" si="14"/>
        <v>-</v>
      </c>
      <c r="R30" s="531" t="str">
        <f t="shared" si="14"/>
        <v>-</v>
      </c>
      <c r="S30" s="533" t="str">
        <f t="shared" si="14"/>
        <v>-</v>
      </c>
      <c r="T30" s="534" t="str">
        <f t="shared" si="14"/>
        <v>-</v>
      </c>
    </row>
    <row r="31" spans="1:20" ht="15.75" x14ac:dyDescent="0.25">
      <c r="A31" s="494">
        <f t="shared" si="10"/>
        <v>202404</v>
      </c>
      <c r="B31" s="525"/>
      <c r="C31" s="526" t="str">
        <f t="shared" si="12"/>
        <v>-</v>
      </c>
      <c r="D31" s="527" t="str">
        <f t="shared" si="12"/>
        <v>-</v>
      </c>
      <c r="E31" s="528" t="str">
        <f t="shared" ref="E31:H31" si="15">IFERROR(E14/$B14,"-")</f>
        <v>-</v>
      </c>
      <c r="F31" s="526" t="str">
        <f t="shared" si="15"/>
        <v>-</v>
      </c>
      <c r="G31" s="527" t="str">
        <f t="shared" si="15"/>
        <v>-</v>
      </c>
      <c r="H31" s="528" t="str">
        <f t="shared" si="15"/>
        <v>-</v>
      </c>
      <c r="I31" s="523"/>
      <c r="J31" s="526" t="str">
        <f t="shared" ref="J31:T31" si="16">IFERROR(J14/$B14,"-")</f>
        <v>-</v>
      </c>
      <c r="K31" s="527" t="str">
        <f t="shared" si="16"/>
        <v>-</v>
      </c>
      <c r="L31" s="527" t="str">
        <f t="shared" si="16"/>
        <v>-</v>
      </c>
      <c r="M31" s="527" t="str">
        <f t="shared" si="16"/>
        <v>-</v>
      </c>
      <c r="N31" s="527" t="str">
        <f t="shared" si="16"/>
        <v>-</v>
      </c>
      <c r="O31" s="527" t="str">
        <f t="shared" si="16"/>
        <v>-</v>
      </c>
      <c r="P31" s="527" t="str">
        <f t="shared" si="16"/>
        <v>-</v>
      </c>
      <c r="Q31" s="528" t="str">
        <f t="shared" si="16"/>
        <v>-</v>
      </c>
      <c r="R31" s="526" t="str">
        <f t="shared" si="16"/>
        <v>-</v>
      </c>
      <c r="S31" s="528" t="str">
        <f t="shared" si="16"/>
        <v>-</v>
      </c>
      <c r="T31" s="529" t="str">
        <f t="shared" si="16"/>
        <v>-</v>
      </c>
    </row>
    <row r="32" spans="1:20" ht="15.75" x14ac:dyDescent="0.25">
      <c r="A32" s="303">
        <f t="shared" si="10"/>
        <v>202405</v>
      </c>
      <c r="B32" s="530"/>
      <c r="C32" s="531" t="str">
        <f t="shared" si="12"/>
        <v>-</v>
      </c>
      <c r="D32" s="532" t="str">
        <f t="shared" si="12"/>
        <v>-</v>
      </c>
      <c r="E32" s="533" t="str">
        <f t="shared" ref="E32:H32" si="17">IFERROR(E15/$B15,"-")</f>
        <v>-</v>
      </c>
      <c r="F32" s="531" t="str">
        <f t="shared" si="17"/>
        <v>-</v>
      </c>
      <c r="G32" s="532" t="str">
        <f t="shared" si="17"/>
        <v>-</v>
      </c>
      <c r="H32" s="533" t="str">
        <f t="shared" si="17"/>
        <v>-</v>
      </c>
      <c r="I32" s="523"/>
      <c r="J32" s="531" t="str">
        <f t="shared" ref="J32:T32" si="18">IFERROR(J15/$B15,"-")</f>
        <v>-</v>
      </c>
      <c r="K32" s="532" t="str">
        <f t="shared" si="18"/>
        <v>-</v>
      </c>
      <c r="L32" s="532" t="str">
        <f t="shared" si="18"/>
        <v>-</v>
      </c>
      <c r="M32" s="532" t="str">
        <f t="shared" si="18"/>
        <v>-</v>
      </c>
      <c r="N32" s="532" t="str">
        <f t="shared" si="18"/>
        <v>-</v>
      </c>
      <c r="O32" s="532" t="str">
        <f t="shared" si="18"/>
        <v>-</v>
      </c>
      <c r="P32" s="532" t="str">
        <f t="shared" si="18"/>
        <v>-</v>
      </c>
      <c r="Q32" s="533" t="str">
        <f t="shared" si="18"/>
        <v>-</v>
      </c>
      <c r="R32" s="531" t="str">
        <f t="shared" si="18"/>
        <v>-</v>
      </c>
      <c r="S32" s="533" t="str">
        <f t="shared" si="18"/>
        <v>-</v>
      </c>
      <c r="T32" s="534" t="str">
        <f t="shared" si="18"/>
        <v>-</v>
      </c>
    </row>
    <row r="33" spans="1:20" ht="15.75" x14ac:dyDescent="0.25">
      <c r="A33" s="494">
        <f t="shared" si="10"/>
        <v>202406</v>
      </c>
      <c r="B33" s="525"/>
      <c r="C33" s="526" t="str">
        <f t="shared" si="12"/>
        <v>-</v>
      </c>
      <c r="D33" s="527" t="str">
        <f t="shared" si="12"/>
        <v>-</v>
      </c>
      <c r="E33" s="528" t="str">
        <f t="shared" ref="E33:H33" si="19">IFERROR(E16/$B16,"-")</f>
        <v>-</v>
      </c>
      <c r="F33" s="526" t="str">
        <f t="shared" si="19"/>
        <v>-</v>
      </c>
      <c r="G33" s="527" t="str">
        <f t="shared" si="19"/>
        <v>-</v>
      </c>
      <c r="H33" s="528" t="str">
        <f t="shared" si="19"/>
        <v>-</v>
      </c>
      <c r="I33" s="523"/>
      <c r="J33" s="526" t="str">
        <f t="shared" ref="J33:T33" si="20">IFERROR(J16/$B16,"-")</f>
        <v>-</v>
      </c>
      <c r="K33" s="527" t="str">
        <f t="shared" si="20"/>
        <v>-</v>
      </c>
      <c r="L33" s="527" t="str">
        <f t="shared" si="20"/>
        <v>-</v>
      </c>
      <c r="M33" s="527" t="str">
        <f t="shared" si="20"/>
        <v>-</v>
      </c>
      <c r="N33" s="527" t="str">
        <f t="shared" si="20"/>
        <v>-</v>
      </c>
      <c r="O33" s="527" t="str">
        <f t="shared" si="20"/>
        <v>-</v>
      </c>
      <c r="P33" s="527" t="str">
        <f t="shared" si="20"/>
        <v>-</v>
      </c>
      <c r="Q33" s="528" t="str">
        <f t="shared" si="20"/>
        <v>-</v>
      </c>
      <c r="R33" s="526" t="str">
        <f t="shared" si="20"/>
        <v>-</v>
      </c>
      <c r="S33" s="528" t="str">
        <f t="shared" si="20"/>
        <v>-</v>
      </c>
      <c r="T33" s="529" t="str">
        <f t="shared" si="20"/>
        <v>-</v>
      </c>
    </row>
    <row r="34" spans="1:20" ht="15.75" x14ac:dyDescent="0.25">
      <c r="A34" s="303">
        <f t="shared" si="10"/>
        <v>202407</v>
      </c>
      <c r="B34" s="530"/>
      <c r="C34" s="531" t="str">
        <f t="shared" si="12"/>
        <v>-</v>
      </c>
      <c r="D34" s="532" t="str">
        <f t="shared" si="12"/>
        <v>-</v>
      </c>
      <c r="E34" s="533" t="str">
        <f t="shared" ref="E34:H34" si="21">IFERROR(E17/$B17,"-")</f>
        <v>-</v>
      </c>
      <c r="F34" s="531" t="str">
        <f t="shared" si="21"/>
        <v>-</v>
      </c>
      <c r="G34" s="532" t="str">
        <f t="shared" si="21"/>
        <v>-</v>
      </c>
      <c r="H34" s="533" t="str">
        <f t="shared" si="21"/>
        <v>-</v>
      </c>
      <c r="I34" s="523"/>
      <c r="J34" s="531" t="str">
        <f t="shared" ref="J34:T34" si="22">IFERROR(J17/$B17,"-")</f>
        <v>-</v>
      </c>
      <c r="K34" s="532" t="str">
        <f t="shared" si="22"/>
        <v>-</v>
      </c>
      <c r="L34" s="532" t="str">
        <f t="shared" si="22"/>
        <v>-</v>
      </c>
      <c r="M34" s="532" t="str">
        <f t="shared" si="22"/>
        <v>-</v>
      </c>
      <c r="N34" s="532" t="str">
        <f t="shared" si="22"/>
        <v>-</v>
      </c>
      <c r="O34" s="532" t="str">
        <f t="shared" si="22"/>
        <v>-</v>
      </c>
      <c r="P34" s="532" t="str">
        <f t="shared" si="22"/>
        <v>-</v>
      </c>
      <c r="Q34" s="533" t="str">
        <f t="shared" si="22"/>
        <v>-</v>
      </c>
      <c r="R34" s="531" t="str">
        <f t="shared" si="22"/>
        <v>-</v>
      </c>
      <c r="S34" s="533" t="str">
        <f t="shared" si="22"/>
        <v>-</v>
      </c>
      <c r="T34" s="534" t="str">
        <f t="shared" si="22"/>
        <v>-</v>
      </c>
    </row>
    <row r="35" spans="1:20" ht="15.75" x14ac:dyDescent="0.25">
      <c r="A35" s="494">
        <f t="shared" si="10"/>
        <v>202408</v>
      </c>
      <c r="B35" s="525"/>
      <c r="C35" s="526" t="str">
        <f t="shared" si="12"/>
        <v>-</v>
      </c>
      <c r="D35" s="527" t="str">
        <f t="shared" si="12"/>
        <v>-</v>
      </c>
      <c r="E35" s="528" t="str">
        <f t="shared" ref="E35:H35" si="23">IFERROR(E18/$B18,"-")</f>
        <v>-</v>
      </c>
      <c r="F35" s="526" t="str">
        <f t="shared" si="23"/>
        <v>-</v>
      </c>
      <c r="G35" s="527" t="str">
        <f t="shared" si="23"/>
        <v>-</v>
      </c>
      <c r="H35" s="528" t="str">
        <f t="shared" si="23"/>
        <v>-</v>
      </c>
      <c r="I35" s="523"/>
      <c r="J35" s="526" t="str">
        <f t="shared" ref="J35:T35" si="24">IFERROR(J18/$B18,"-")</f>
        <v>-</v>
      </c>
      <c r="K35" s="527" t="str">
        <f t="shared" si="24"/>
        <v>-</v>
      </c>
      <c r="L35" s="527" t="str">
        <f t="shared" si="24"/>
        <v>-</v>
      </c>
      <c r="M35" s="527" t="str">
        <f t="shared" si="24"/>
        <v>-</v>
      </c>
      <c r="N35" s="527" t="str">
        <f t="shared" si="24"/>
        <v>-</v>
      </c>
      <c r="O35" s="527" t="str">
        <f t="shared" si="24"/>
        <v>-</v>
      </c>
      <c r="P35" s="527" t="str">
        <f t="shared" si="24"/>
        <v>-</v>
      </c>
      <c r="Q35" s="528" t="str">
        <f t="shared" si="24"/>
        <v>-</v>
      </c>
      <c r="R35" s="526" t="str">
        <f t="shared" si="24"/>
        <v>-</v>
      </c>
      <c r="S35" s="528" t="str">
        <f t="shared" si="24"/>
        <v>-</v>
      </c>
      <c r="T35" s="529" t="str">
        <f t="shared" si="24"/>
        <v>-</v>
      </c>
    </row>
    <row r="36" spans="1:20" ht="15.75" x14ac:dyDescent="0.25">
      <c r="A36" s="303">
        <f t="shared" si="10"/>
        <v>202409</v>
      </c>
      <c r="B36" s="530"/>
      <c r="C36" s="531" t="str">
        <f t="shared" si="12"/>
        <v>-</v>
      </c>
      <c r="D36" s="532" t="str">
        <f t="shared" si="12"/>
        <v>-</v>
      </c>
      <c r="E36" s="533" t="str">
        <f t="shared" ref="E36:H36" si="25">IFERROR(E19/$B19,"-")</f>
        <v>-</v>
      </c>
      <c r="F36" s="531" t="str">
        <f t="shared" si="25"/>
        <v>-</v>
      </c>
      <c r="G36" s="532" t="str">
        <f t="shared" si="25"/>
        <v>-</v>
      </c>
      <c r="H36" s="533" t="str">
        <f t="shared" si="25"/>
        <v>-</v>
      </c>
      <c r="I36" s="523"/>
      <c r="J36" s="531" t="str">
        <f t="shared" ref="J36:T36" si="26">IFERROR(J19/$B19,"-")</f>
        <v>-</v>
      </c>
      <c r="K36" s="532" t="str">
        <f t="shared" si="26"/>
        <v>-</v>
      </c>
      <c r="L36" s="532" t="str">
        <f t="shared" si="26"/>
        <v>-</v>
      </c>
      <c r="M36" s="532" t="str">
        <f t="shared" si="26"/>
        <v>-</v>
      </c>
      <c r="N36" s="532" t="str">
        <f t="shared" si="26"/>
        <v>-</v>
      </c>
      <c r="O36" s="532" t="str">
        <f t="shared" si="26"/>
        <v>-</v>
      </c>
      <c r="P36" s="532" t="str">
        <f t="shared" si="26"/>
        <v>-</v>
      </c>
      <c r="Q36" s="533" t="str">
        <f t="shared" si="26"/>
        <v>-</v>
      </c>
      <c r="R36" s="531" t="str">
        <f t="shared" si="26"/>
        <v>-</v>
      </c>
      <c r="S36" s="533" t="str">
        <f t="shared" si="26"/>
        <v>-</v>
      </c>
      <c r="T36" s="534" t="str">
        <f t="shared" si="26"/>
        <v>-</v>
      </c>
    </row>
    <row r="37" spans="1:20" ht="15.75" x14ac:dyDescent="0.25">
      <c r="A37" s="494">
        <f t="shared" si="10"/>
        <v>202410</v>
      </c>
      <c r="B37" s="525"/>
      <c r="C37" s="526" t="str">
        <f t="shared" si="12"/>
        <v>-</v>
      </c>
      <c r="D37" s="527" t="str">
        <f t="shared" si="12"/>
        <v>-</v>
      </c>
      <c r="E37" s="528" t="str">
        <f t="shared" ref="E37:H37" si="27">IFERROR(E20/$B20,"-")</f>
        <v>-</v>
      </c>
      <c r="F37" s="526" t="str">
        <f t="shared" si="27"/>
        <v>-</v>
      </c>
      <c r="G37" s="527" t="str">
        <f t="shared" si="27"/>
        <v>-</v>
      </c>
      <c r="H37" s="528" t="str">
        <f t="shared" si="27"/>
        <v>-</v>
      </c>
      <c r="I37" s="523"/>
      <c r="J37" s="526" t="str">
        <f t="shared" ref="J37:T37" si="28">IFERROR(J20/$B20,"-")</f>
        <v>-</v>
      </c>
      <c r="K37" s="527" t="str">
        <f t="shared" si="28"/>
        <v>-</v>
      </c>
      <c r="L37" s="527" t="str">
        <f t="shared" si="28"/>
        <v>-</v>
      </c>
      <c r="M37" s="527" t="str">
        <f t="shared" si="28"/>
        <v>-</v>
      </c>
      <c r="N37" s="527" t="str">
        <f t="shared" si="28"/>
        <v>-</v>
      </c>
      <c r="O37" s="527" t="str">
        <f t="shared" si="28"/>
        <v>-</v>
      </c>
      <c r="P37" s="527" t="str">
        <f t="shared" si="28"/>
        <v>-</v>
      </c>
      <c r="Q37" s="528" t="str">
        <f t="shared" si="28"/>
        <v>-</v>
      </c>
      <c r="R37" s="526" t="str">
        <f t="shared" si="28"/>
        <v>-</v>
      </c>
      <c r="S37" s="528" t="str">
        <f t="shared" si="28"/>
        <v>-</v>
      </c>
      <c r="T37" s="529" t="str">
        <f t="shared" si="28"/>
        <v>-</v>
      </c>
    </row>
    <row r="38" spans="1:20" ht="15.75" x14ac:dyDescent="0.25">
      <c r="A38" s="303">
        <f t="shared" si="10"/>
        <v>202411</v>
      </c>
      <c r="B38" s="530"/>
      <c r="C38" s="531" t="str">
        <f t="shared" si="12"/>
        <v>-</v>
      </c>
      <c r="D38" s="532" t="str">
        <f t="shared" si="12"/>
        <v>-</v>
      </c>
      <c r="E38" s="533" t="str">
        <f t="shared" ref="E38:H38" si="29">IFERROR(E21/$B21,"-")</f>
        <v>-</v>
      </c>
      <c r="F38" s="531" t="str">
        <f t="shared" si="29"/>
        <v>-</v>
      </c>
      <c r="G38" s="532" t="str">
        <f t="shared" si="29"/>
        <v>-</v>
      </c>
      <c r="H38" s="533" t="str">
        <f t="shared" si="29"/>
        <v>-</v>
      </c>
      <c r="I38" s="523"/>
      <c r="J38" s="531" t="str">
        <f t="shared" ref="J38:T38" si="30">IFERROR(J21/$B21,"-")</f>
        <v>-</v>
      </c>
      <c r="K38" s="532" t="str">
        <f t="shared" si="30"/>
        <v>-</v>
      </c>
      <c r="L38" s="532" t="str">
        <f t="shared" si="30"/>
        <v>-</v>
      </c>
      <c r="M38" s="532" t="str">
        <f t="shared" si="30"/>
        <v>-</v>
      </c>
      <c r="N38" s="532" t="str">
        <f t="shared" si="30"/>
        <v>-</v>
      </c>
      <c r="O38" s="532" t="str">
        <f t="shared" si="30"/>
        <v>-</v>
      </c>
      <c r="P38" s="532" t="str">
        <f t="shared" si="30"/>
        <v>-</v>
      </c>
      <c r="Q38" s="533" t="str">
        <f t="shared" si="30"/>
        <v>-</v>
      </c>
      <c r="R38" s="531" t="str">
        <f t="shared" si="30"/>
        <v>-</v>
      </c>
      <c r="S38" s="533" t="str">
        <f t="shared" si="30"/>
        <v>-</v>
      </c>
      <c r="T38" s="534" t="str">
        <f t="shared" si="30"/>
        <v>-</v>
      </c>
    </row>
    <row r="39" spans="1:20" ht="15.75" x14ac:dyDescent="0.25">
      <c r="A39" s="508">
        <f t="shared" si="10"/>
        <v>202412</v>
      </c>
      <c r="B39" s="535"/>
      <c r="C39" s="536" t="str">
        <f t="shared" si="12"/>
        <v>-</v>
      </c>
      <c r="D39" s="537" t="str">
        <f t="shared" si="12"/>
        <v>-</v>
      </c>
      <c r="E39" s="538" t="str">
        <f t="shared" ref="E39:H39" si="31">IFERROR(E22/$B22,"-")</f>
        <v>-</v>
      </c>
      <c r="F39" s="536" t="str">
        <f t="shared" si="31"/>
        <v>-</v>
      </c>
      <c r="G39" s="537" t="str">
        <f t="shared" si="31"/>
        <v>-</v>
      </c>
      <c r="H39" s="538" t="str">
        <f t="shared" si="31"/>
        <v>-</v>
      </c>
      <c r="I39" s="523"/>
      <c r="J39" s="536" t="str">
        <f t="shared" ref="J39:T39" si="32">IFERROR(J22/$B22,"-")</f>
        <v>-</v>
      </c>
      <c r="K39" s="537" t="str">
        <f t="shared" si="32"/>
        <v>-</v>
      </c>
      <c r="L39" s="537" t="str">
        <f t="shared" si="32"/>
        <v>-</v>
      </c>
      <c r="M39" s="537" t="str">
        <f t="shared" si="32"/>
        <v>-</v>
      </c>
      <c r="N39" s="537" t="str">
        <f t="shared" si="32"/>
        <v>-</v>
      </c>
      <c r="O39" s="537" t="str">
        <f t="shared" si="32"/>
        <v>-</v>
      </c>
      <c r="P39" s="537" t="str">
        <f t="shared" si="32"/>
        <v>-</v>
      </c>
      <c r="Q39" s="538" t="str">
        <f t="shared" si="32"/>
        <v>-</v>
      </c>
      <c r="R39" s="536" t="str">
        <f t="shared" si="32"/>
        <v>-</v>
      </c>
      <c r="S39" s="538" t="str">
        <f t="shared" si="32"/>
        <v>-</v>
      </c>
      <c r="T39" s="539" t="str">
        <f t="shared" si="32"/>
        <v>-</v>
      </c>
    </row>
    <row r="40" spans="1:20" ht="15.75" x14ac:dyDescent="0.25">
      <c r="A40" s="303" t="str">
        <f>"CY"&amp;ExperYear</f>
        <v>CY2024</v>
      </c>
      <c r="B40" s="540"/>
      <c r="C40" s="531" t="str">
        <f t="shared" si="12"/>
        <v>-</v>
      </c>
      <c r="D40" s="532" t="str">
        <f t="shared" si="12"/>
        <v>-</v>
      </c>
      <c r="E40" s="533" t="str">
        <f t="shared" ref="E40:H40" si="33">IFERROR(E23/$B23,"-")</f>
        <v>-</v>
      </c>
      <c r="F40" s="531" t="str">
        <f t="shared" si="33"/>
        <v>-</v>
      </c>
      <c r="G40" s="532" t="str">
        <f t="shared" si="33"/>
        <v>-</v>
      </c>
      <c r="H40" s="533" t="str">
        <f t="shared" si="33"/>
        <v>-</v>
      </c>
      <c r="I40" s="523"/>
      <c r="J40" s="531" t="str">
        <f t="shared" ref="J40:T40" si="34">IFERROR(J23/$B23,"-")</f>
        <v>-</v>
      </c>
      <c r="K40" s="532" t="str">
        <f t="shared" si="34"/>
        <v>-</v>
      </c>
      <c r="L40" s="532" t="str">
        <f t="shared" si="34"/>
        <v>-</v>
      </c>
      <c r="M40" s="532" t="str">
        <f t="shared" si="34"/>
        <v>-</v>
      </c>
      <c r="N40" s="532" t="str">
        <f t="shared" si="34"/>
        <v>-</v>
      </c>
      <c r="O40" s="532" t="str">
        <f t="shared" si="34"/>
        <v>-</v>
      </c>
      <c r="P40" s="532" t="str">
        <f t="shared" si="34"/>
        <v>-</v>
      </c>
      <c r="Q40" s="533" t="str">
        <f t="shared" si="34"/>
        <v>-</v>
      </c>
      <c r="R40" s="531" t="str">
        <f t="shared" si="34"/>
        <v>-</v>
      </c>
      <c r="S40" s="533" t="str">
        <f t="shared" si="34"/>
        <v>-</v>
      </c>
      <c r="T40" s="534" t="str">
        <f t="shared" si="34"/>
        <v>-</v>
      </c>
    </row>
    <row r="42" spans="1:20" ht="21.75" thickBot="1" x14ac:dyDescent="0.4">
      <c r="A42" s="131" t="s">
        <v>61</v>
      </c>
      <c r="B42" s="131"/>
      <c r="C42" s="131"/>
      <c r="D42" s="134"/>
      <c r="E42" s="131"/>
    </row>
    <row r="43" spans="1:20" ht="16.5" thickTop="1" x14ac:dyDescent="0.25">
      <c r="A43" s="82"/>
      <c r="B43" s="82"/>
      <c r="C43" s="82"/>
      <c r="D43" s="82"/>
      <c r="E43" s="82"/>
      <c r="F43" s="82"/>
      <c r="G43" s="82"/>
      <c r="H43" s="82"/>
      <c r="I43" s="82"/>
      <c r="J43" s="82"/>
      <c r="K43" s="82"/>
      <c r="L43" s="82"/>
      <c r="M43" s="82"/>
      <c r="N43" s="82"/>
      <c r="O43" s="82"/>
    </row>
    <row r="44" spans="1:20" ht="15.75" x14ac:dyDescent="0.25">
      <c r="A44" s="605"/>
      <c r="B44" s="606"/>
      <c r="C44" s="606"/>
      <c r="D44" s="606"/>
      <c r="E44" s="606"/>
      <c r="F44" s="606"/>
      <c r="G44" s="606"/>
      <c r="H44" s="606"/>
      <c r="I44" s="606"/>
      <c r="J44" s="606"/>
      <c r="K44" s="606"/>
      <c r="L44" s="606"/>
      <c r="M44" s="606"/>
      <c r="N44" s="606"/>
      <c r="O44" s="606"/>
      <c r="P44" s="606"/>
      <c r="Q44" s="606"/>
      <c r="R44" s="606"/>
      <c r="S44" s="606"/>
      <c r="T44" s="606"/>
    </row>
    <row r="45" spans="1:20" ht="15.75" x14ac:dyDescent="0.25">
      <c r="A45" s="605"/>
      <c r="B45" s="606"/>
      <c r="C45" s="606"/>
      <c r="D45" s="606"/>
      <c r="E45" s="606"/>
      <c r="F45" s="606"/>
      <c r="G45" s="606"/>
      <c r="H45" s="606"/>
      <c r="I45" s="606"/>
      <c r="J45" s="606"/>
      <c r="K45" s="606"/>
      <c r="L45" s="606"/>
      <c r="M45" s="606"/>
      <c r="N45" s="606"/>
      <c r="O45" s="606"/>
      <c r="P45" s="606"/>
      <c r="Q45" s="606"/>
      <c r="R45" s="606"/>
      <c r="S45" s="606"/>
      <c r="T45" s="606"/>
    </row>
    <row r="46" spans="1:20" ht="15.75" x14ac:dyDescent="0.25">
      <c r="A46" s="605"/>
      <c r="B46" s="606"/>
      <c r="C46" s="606"/>
      <c r="D46" s="606"/>
      <c r="E46" s="606"/>
      <c r="F46" s="606"/>
      <c r="G46" s="606"/>
      <c r="H46" s="606"/>
      <c r="I46" s="606"/>
      <c r="J46" s="606"/>
      <c r="K46" s="606"/>
      <c r="L46" s="606"/>
      <c r="M46" s="606"/>
      <c r="N46" s="606"/>
      <c r="O46" s="606"/>
      <c r="P46" s="606"/>
      <c r="Q46" s="606"/>
      <c r="R46" s="606"/>
      <c r="S46" s="606"/>
      <c r="T46" s="606"/>
    </row>
    <row r="47" spans="1:20" ht="15.75" x14ac:dyDescent="0.25">
      <c r="A47" s="605"/>
      <c r="B47" s="606"/>
      <c r="C47" s="606"/>
      <c r="D47" s="606"/>
      <c r="E47" s="606"/>
      <c r="F47" s="606"/>
      <c r="G47" s="606"/>
      <c r="H47" s="606"/>
      <c r="I47" s="606"/>
      <c r="J47" s="606"/>
      <c r="K47" s="606"/>
      <c r="L47" s="606"/>
      <c r="M47" s="606"/>
      <c r="N47" s="606"/>
      <c r="O47" s="606"/>
      <c r="P47" s="606"/>
      <c r="Q47" s="606"/>
      <c r="R47" s="606"/>
      <c r="S47" s="606"/>
      <c r="T47" s="606"/>
    </row>
    <row r="48" spans="1:20" ht="15.75" x14ac:dyDescent="0.25">
      <c r="A48" s="605"/>
      <c r="B48" s="606"/>
      <c r="C48" s="606"/>
      <c r="D48" s="606"/>
      <c r="E48" s="606"/>
      <c r="F48" s="606"/>
      <c r="G48" s="606"/>
      <c r="H48" s="606"/>
      <c r="I48" s="606"/>
      <c r="J48" s="606"/>
      <c r="K48" s="606"/>
      <c r="L48" s="606"/>
      <c r="M48" s="606"/>
      <c r="N48" s="606"/>
      <c r="O48" s="606"/>
      <c r="P48" s="606"/>
      <c r="Q48" s="606"/>
      <c r="R48" s="606"/>
      <c r="S48" s="606"/>
      <c r="T48" s="606"/>
    </row>
    <row r="49" spans="1:20" ht="15.75" x14ac:dyDescent="0.25">
      <c r="A49" s="605"/>
      <c r="B49" s="606"/>
      <c r="C49" s="606"/>
      <c r="D49" s="606"/>
      <c r="E49" s="606"/>
      <c r="F49" s="606"/>
      <c r="G49" s="606"/>
      <c r="H49" s="606"/>
      <c r="I49" s="606"/>
      <c r="J49" s="606"/>
      <c r="K49" s="606"/>
      <c r="L49" s="606"/>
      <c r="M49" s="606"/>
      <c r="N49" s="606"/>
      <c r="O49" s="606"/>
      <c r="P49" s="606"/>
      <c r="Q49" s="606"/>
      <c r="R49" s="606"/>
      <c r="S49" s="606"/>
      <c r="T49" s="606"/>
    </row>
    <row r="50" spans="1:20" ht="15.75" x14ac:dyDescent="0.25">
      <c r="A50" s="605"/>
      <c r="B50" s="606"/>
      <c r="C50" s="606"/>
      <c r="D50" s="606"/>
      <c r="E50" s="606"/>
      <c r="F50" s="606"/>
      <c r="G50" s="606"/>
      <c r="H50" s="606"/>
      <c r="I50" s="606"/>
      <c r="J50" s="606"/>
      <c r="K50" s="606"/>
      <c r="L50" s="606"/>
      <c r="M50" s="606"/>
      <c r="N50" s="606"/>
      <c r="O50" s="606"/>
      <c r="P50" s="606"/>
      <c r="Q50" s="606"/>
      <c r="R50" s="606"/>
      <c r="S50" s="606"/>
      <c r="T50" s="606"/>
    </row>
    <row r="51" spans="1:20" ht="15.75" x14ac:dyDescent="0.25">
      <c r="A51" s="605"/>
      <c r="B51" s="606"/>
      <c r="C51" s="606"/>
      <c r="D51" s="606"/>
      <c r="E51" s="606"/>
      <c r="F51" s="606"/>
      <c r="G51" s="606"/>
      <c r="H51" s="606"/>
      <c r="I51" s="606"/>
      <c r="J51" s="606"/>
      <c r="K51" s="606"/>
      <c r="L51" s="606"/>
      <c r="M51" s="606"/>
      <c r="N51" s="606"/>
      <c r="O51" s="606"/>
      <c r="P51" s="606"/>
      <c r="Q51" s="606"/>
      <c r="R51" s="606"/>
      <c r="S51" s="606"/>
      <c r="T51" s="606"/>
    </row>
    <row r="52" spans="1:20" ht="15.75" x14ac:dyDescent="0.25">
      <c r="A52" s="605"/>
      <c r="B52" s="606"/>
      <c r="C52" s="606"/>
      <c r="D52" s="606"/>
      <c r="E52" s="606"/>
      <c r="F52" s="606"/>
      <c r="G52" s="606"/>
      <c r="H52" s="606"/>
      <c r="I52" s="606"/>
      <c r="J52" s="606"/>
      <c r="K52" s="606"/>
      <c r="L52" s="606"/>
      <c r="M52" s="606"/>
      <c r="N52" s="606"/>
      <c r="O52" s="606"/>
      <c r="P52" s="606"/>
      <c r="Q52" s="606"/>
      <c r="R52" s="606"/>
      <c r="S52" s="606"/>
      <c r="T52" s="606"/>
    </row>
    <row r="53" spans="1:20" ht="15.75" x14ac:dyDescent="0.25">
      <c r="A53" s="605"/>
      <c r="B53" s="606"/>
      <c r="C53" s="606"/>
      <c r="D53" s="606"/>
      <c r="E53" s="606"/>
      <c r="F53" s="606"/>
      <c r="G53" s="606"/>
      <c r="H53" s="606"/>
      <c r="I53" s="606"/>
      <c r="J53" s="606"/>
      <c r="K53" s="606"/>
      <c r="L53" s="606"/>
      <c r="M53" s="606"/>
      <c r="N53" s="606"/>
      <c r="O53" s="606"/>
      <c r="P53" s="606"/>
      <c r="Q53" s="606"/>
      <c r="R53" s="606"/>
      <c r="S53" s="606"/>
      <c r="T53" s="606"/>
    </row>
  </sheetData>
  <mergeCells count="14">
    <mergeCell ref="E3:T3"/>
    <mergeCell ref="E4:T4"/>
    <mergeCell ref="E5:T5"/>
    <mergeCell ref="E6:T6"/>
    <mergeCell ref="A52:T52"/>
    <mergeCell ref="A53:T53"/>
    <mergeCell ref="A44:T44"/>
    <mergeCell ref="A45:T45"/>
    <mergeCell ref="A46:T46"/>
    <mergeCell ref="A47:T47"/>
    <mergeCell ref="A48:T48"/>
    <mergeCell ref="A49:T49"/>
    <mergeCell ref="A50:T50"/>
    <mergeCell ref="A51:T51"/>
  </mergeCells>
  <conditionalFormatting sqref="P11:P22">
    <cfRule type="cellIs" dxfId="30" priority="1" operator="greaterThan">
      <formula>0</formula>
    </cfRule>
  </conditionalFormatting>
  <conditionalFormatting sqref="T11:T22">
    <cfRule type="expression" dxfId="29" priority="4">
      <formula>ABS(T11)&gt;2</formula>
    </cfRule>
  </conditionalFormatting>
  <conditionalFormatting sqref="T28:T40">
    <cfRule type="expression" dxfId="28" priority="2">
      <formula>ABS(T28)&gt;0.5</formula>
    </cfRule>
  </conditionalFormatting>
  <dataValidations count="1">
    <dataValidation type="list" allowBlank="1" showInputMessage="1" showErrorMessage="1" sqref="E4" xr:uid="{D9814EAC-EE9C-4525-8246-C205ED300C1B}">
      <formula1>Market_List</formula1>
    </dataValidation>
  </dataValidations>
  <printOptions horizontalCentered="1"/>
  <pageMargins left="0.25" right="0.25" top="0.75" bottom="0.75" header="0.25" footer="0.25"/>
  <pageSetup scale="54" orientation="landscape" horizontalDpi="1200" verticalDpi="1200" r:id="rId1"/>
  <headerFooter>
    <oddFooter>&amp;L2026 IND &amp;&amp; SG ACA MEDICAL RATE FILINGS -- COMMON EXHIBITS&amp;R04/07/2025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8479E-BD5E-4908-8F2D-0FE8EDA60166}">
  <sheetPr codeName="Sheet1">
    <tabColor theme="9" tint="-0.499984740745262"/>
    <pageSetUpPr fitToPage="1"/>
  </sheetPr>
  <dimension ref="A1:L50"/>
  <sheetViews>
    <sheetView showGridLines="0" zoomScale="70" zoomScaleNormal="70" workbookViewId="0">
      <pane xSplit="2" ySplit="6" topLeftCell="C7" activePane="bottomRight" state="frozen"/>
      <selection pane="topRight"/>
      <selection pane="bottomLeft"/>
      <selection pane="bottomRight" activeCell="C13" sqref="C13"/>
    </sheetView>
  </sheetViews>
  <sheetFormatPr defaultRowHeight="15.75" x14ac:dyDescent="0.25"/>
  <cols>
    <col min="1" max="1" width="6.5703125" style="82" customWidth="1"/>
    <col min="2" max="2" width="40.140625" style="82" bestFit="1" customWidth="1"/>
    <col min="3" max="3" width="15.140625" style="82" customWidth="1"/>
    <col min="4" max="4" width="15.7109375" style="82" bestFit="1" customWidth="1"/>
    <col min="5" max="6" width="13.140625" style="82" customWidth="1"/>
    <col min="7" max="7" width="14.28515625" style="82" customWidth="1"/>
    <col min="8" max="8" width="13.7109375" style="82" bestFit="1" customWidth="1"/>
    <col min="9" max="9" width="13.140625" style="82" customWidth="1"/>
    <col min="10" max="10" width="14.5703125" style="82" customWidth="1"/>
    <col min="11" max="12" width="13.140625" style="82" customWidth="1"/>
    <col min="13" max="16384" width="9.140625" style="82"/>
  </cols>
  <sheetData>
    <row r="1" spans="1:12" ht="26.25" x14ac:dyDescent="0.4">
      <c r="A1" s="76" t="s">
        <v>62</v>
      </c>
    </row>
    <row r="2" spans="1:12" customFormat="1" ht="15" customHeight="1" x14ac:dyDescent="0.25">
      <c r="A2" s="259"/>
    </row>
    <row r="3" spans="1:12" ht="21" x14ac:dyDescent="0.35">
      <c r="A3" s="268" t="s">
        <v>38</v>
      </c>
      <c r="C3" s="614" t="str">
        <f>CarrierName</f>
        <v>ABC Company</v>
      </c>
      <c r="D3" s="614"/>
      <c r="E3" s="614"/>
      <c r="F3" s="614"/>
      <c r="G3" s="614"/>
      <c r="H3" s="614"/>
      <c r="I3" s="614"/>
      <c r="J3" s="614"/>
      <c r="K3" s="614"/>
      <c r="L3" s="614"/>
    </row>
    <row r="4" spans="1:12" ht="21" x14ac:dyDescent="0.35">
      <c r="A4" s="268" t="s">
        <v>0</v>
      </c>
      <c r="C4" s="614" t="str">
        <f>Market</f>
        <v>Individual</v>
      </c>
      <c r="D4" s="614"/>
      <c r="E4" s="614"/>
      <c r="F4" s="614"/>
      <c r="G4" s="614"/>
      <c r="H4" s="614"/>
      <c r="I4" s="614"/>
      <c r="J4" s="614"/>
      <c r="K4" s="614"/>
      <c r="L4" s="614"/>
    </row>
    <row r="5" spans="1:12" ht="21" x14ac:dyDescent="0.35">
      <c r="A5" s="268" t="s">
        <v>40</v>
      </c>
      <c r="C5" s="614">
        <f>PlanYear</f>
        <v>2026</v>
      </c>
      <c r="D5" s="614"/>
      <c r="E5" s="614"/>
      <c r="F5" s="614"/>
      <c r="G5" s="614"/>
      <c r="H5" s="614"/>
      <c r="I5" s="614"/>
      <c r="J5" s="614"/>
      <c r="K5" s="614"/>
      <c r="L5" s="614"/>
    </row>
    <row r="6" spans="1:12" ht="21" x14ac:dyDescent="0.35">
      <c r="A6" s="268" t="s">
        <v>41</v>
      </c>
      <c r="C6" s="613">
        <f>PlanYear-2</f>
        <v>2024</v>
      </c>
      <c r="D6" s="613"/>
      <c r="E6" s="613"/>
      <c r="F6" s="613"/>
      <c r="G6" s="613"/>
      <c r="H6" s="613"/>
      <c r="I6" s="613"/>
      <c r="J6" s="613"/>
      <c r="K6" s="613"/>
      <c r="L6" s="613"/>
    </row>
    <row r="7" spans="1:12" customFormat="1" ht="15" x14ac:dyDescent="0.25">
      <c r="B7" s="260"/>
      <c r="C7" s="261"/>
      <c r="F7" s="262"/>
      <c r="G7" s="262"/>
    </row>
    <row r="8" spans="1:12" customFormat="1" ht="15" x14ac:dyDescent="0.25">
      <c r="B8" s="260"/>
      <c r="C8" s="261"/>
      <c r="F8" s="262"/>
      <c r="G8" s="262"/>
    </row>
    <row r="9" spans="1:12" ht="21.75" thickBot="1" x14ac:dyDescent="0.4">
      <c r="A9" s="131" t="s">
        <v>63</v>
      </c>
      <c r="B9" s="4"/>
      <c r="F9" s="83"/>
      <c r="G9" s="83"/>
    </row>
    <row r="10" spans="1:12" ht="6" customHeight="1" thickTop="1" x14ac:dyDescent="0.25">
      <c r="A10"/>
      <c r="C10" s="83"/>
      <c r="F10" s="83"/>
      <c r="G10" s="83"/>
    </row>
    <row r="11" spans="1:12" x14ac:dyDescent="0.25">
      <c r="C11" s="79" t="str">
        <f>ExperYear&amp;", TOTAL"</f>
        <v>2024, TOTAL</v>
      </c>
      <c r="D11" s="79"/>
      <c r="E11" s="80"/>
      <c r="F11" s="80"/>
      <c r="G11" s="79" t="str">
        <f>ExperYear&amp;", PMPM"</f>
        <v>2024, PMPM</v>
      </c>
      <c r="H11" s="79"/>
      <c r="I11" s="79"/>
      <c r="J11" s="79" t="str">
        <f>ExperYear&amp;", % of PREMIUM"</f>
        <v>2024, % of PREMIUM</v>
      </c>
      <c r="K11" s="81"/>
      <c r="L11" s="81"/>
    </row>
    <row r="12" spans="1:12" ht="47.25" x14ac:dyDescent="0.25">
      <c r="A12" s="304" t="s">
        <v>64</v>
      </c>
      <c r="B12" s="304" t="s">
        <v>65</v>
      </c>
      <c r="C12" s="304" t="s">
        <v>66</v>
      </c>
      <c r="D12" s="304" t="s">
        <v>67</v>
      </c>
      <c r="E12" s="305" t="s">
        <v>68</v>
      </c>
      <c r="F12" s="305" t="s">
        <v>69</v>
      </c>
      <c r="G12" s="304" t="s">
        <v>66</v>
      </c>
      <c r="H12" s="304" t="s">
        <v>67</v>
      </c>
      <c r="I12" s="305" t="s">
        <v>68</v>
      </c>
      <c r="J12" s="304" t="s">
        <v>66</v>
      </c>
      <c r="K12" s="304" t="s">
        <v>67</v>
      </c>
      <c r="L12" s="305" t="s">
        <v>69</v>
      </c>
    </row>
    <row r="13" spans="1:12" x14ac:dyDescent="0.25">
      <c r="A13" s="135" t="s">
        <v>70</v>
      </c>
      <c r="B13" s="287" t="s">
        <v>71</v>
      </c>
      <c r="C13" s="138"/>
      <c r="D13" s="138"/>
      <c r="E13" s="84" t="e">
        <f>C13/D13-1</f>
        <v>#DIV/0!</v>
      </c>
      <c r="F13" s="85"/>
      <c r="G13" s="85"/>
      <c r="H13" s="85"/>
      <c r="I13" s="85"/>
      <c r="J13" s="85"/>
      <c r="K13" s="85"/>
      <c r="L13" s="85"/>
    </row>
    <row r="14" spans="1:12" x14ac:dyDescent="0.25">
      <c r="A14" s="135" t="s">
        <v>72</v>
      </c>
      <c r="B14" s="287" t="s">
        <v>73</v>
      </c>
      <c r="C14" s="100"/>
      <c r="D14" s="100"/>
      <c r="E14" s="84" t="e">
        <f t="shared" ref="E14:E22" si="0">C14/D14-1</f>
        <v>#DIV/0!</v>
      </c>
      <c r="F14" s="85"/>
      <c r="G14" s="86" t="e">
        <f t="shared" ref="G14:H21" si="1">+C14/C$13</f>
        <v>#DIV/0!</v>
      </c>
      <c r="H14" s="86" t="e">
        <f t="shared" si="1"/>
        <v>#DIV/0!</v>
      </c>
      <c r="I14" s="84" t="e">
        <f t="shared" ref="I14:I21" si="2">G14/H14-1</f>
        <v>#DIV/0!</v>
      </c>
      <c r="J14" s="85"/>
      <c r="K14" s="85"/>
      <c r="L14" s="85"/>
    </row>
    <row r="15" spans="1:12" x14ac:dyDescent="0.25">
      <c r="A15" s="135" t="s">
        <v>74</v>
      </c>
      <c r="B15" s="287" t="s">
        <v>75</v>
      </c>
      <c r="C15" s="100"/>
      <c r="D15" s="100"/>
      <c r="E15" s="84" t="e">
        <f t="shared" si="0"/>
        <v>#DIV/0!</v>
      </c>
      <c r="F15" s="85"/>
      <c r="G15" s="86" t="e">
        <f t="shared" si="1"/>
        <v>#DIV/0!</v>
      </c>
      <c r="H15" s="86" t="e">
        <f t="shared" si="1"/>
        <v>#DIV/0!</v>
      </c>
      <c r="I15" s="84" t="e">
        <f t="shared" si="2"/>
        <v>#DIV/0!</v>
      </c>
      <c r="J15" s="87" t="e">
        <f t="shared" ref="J15:K21" si="3">G15/G$14</f>
        <v>#DIV/0!</v>
      </c>
      <c r="K15" s="87" t="e">
        <f t="shared" si="3"/>
        <v>#DIV/0!</v>
      </c>
      <c r="L15" s="84" t="e">
        <f>J15-K15</f>
        <v>#DIV/0!</v>
      </c>
    </row>
    <row r="16" spans="1:12" x14ac:dyDescent="0.25">
      <c r="A16" s="135" t="s">
        <v>76</v>
      </c>
      <c r="B16" s="287" t="s">
        <v>77</v>
      </c>
      <c r="C16" s="100"/>
      <c r="D16" s="100"/>
      <c r="E16" s="84" t="e">
        <f t="shared" si="0"/>
        <v>#DIV/0!</v>
      </c>
      <c r="F16" s="85"/>
      <c r="G16" s="86" t="e">
        <f t="shared" si="1"/>
        <v>#DIV/0!</v>
      </c>
      <c r="H16" s="86" t="e">
        <f t="shared" si="1"/>
        <v>#DIV/0!</v>
      </c>
      <c r="I16" s="84" t="e">
        <f t="shared" si="2"/>
        <v>#DIV/0!</v>
      </c>
      <c r="J16" s="87" t="e">
        <f t="shared" si="3"/>
        <v>#DIV/0!</v>
      </c>
      <c r="K16" s="87" t="e">
        <f t="shared" si="3"/>
        <v>#DIV/0!</v>
      </c>
      <c r="L16" s="84" t="e">
        <f t="shared" ref="L16:L21" si="4">J16-K16</f>
        <v>#DIV/0!</v>
      </c>
    </row>
    <row r="17" spans="1:12" x14ac:dyDescent="0.25">
      <c r="A17" s="135" t="s">
        <v>78</v>
      </c>
      <c r="B17" s="287" t="s">
        <v>79</v>
      </c>
      <c r="C17" s="100"/>
      <c r="D17" s="100"/>
      <c r="E17" s="84" t="e">
        <f t="shared" si="0"/>
        <v>#DIV/0!</v>
      </c>
      <c r="F17" s="85"/>
      <c r="G17" s="86" t="e">
        <f t="shared" si="1"/>
        <v>#DIV/0!</v>
      </c>
      <c r="H17" s="86" t="e">
        <f t="shared" si="1"/>
        <v>#DIV/0!</v>
      </c>
      <c r="I17" s="84" t="e">
        <f>G17/H17-1</f>
        <v>#DIV/0!</v>
      </c>
      <c r="J17" s="87" t="e">
        <f t="shared" si="3"/>
        <v>#DIV/0!</v>
      </c>
      <c r="K17" s="87" t="e">
        <f t="shared" si="3"/>
        <v>#DIV/0!</v>
      </c>
      <c r="L17" s="84" t="e">
        <f t="shared" si="4"/>
        <v>#DIV/0!</v>
      </c>
    </row>
    <row r="18" spans="1:12" x14ac:dyDescent="0.25">
      <c r="A18" s="135" t="s">
        <v>80</v>
      </c>
      <c r="B18" s="287" t="s">
        <v>81</v>
      </c>
      <c r="C18" s="100"/>
      <c r="D18" s="100"/>
      <c r="E18" s="84" t="e">
        <f t="shared" si="0"/>
        <v>#DIV/0!</v>
      </c>
      <c r="F18" s="85"/>
      <c r="G18" s="86" t="e">
        <f t="shared" si="1"/>
        <v>#DIV/0!</v>
      </c>
      <c r="H18" s="86" t="e">
        <f t="shared" si="1"/>
        <v>#DIV/0!</v>
      </c>
      <c r="I18" s="84" t="e">
        <f t="shared" si="2"/>
        <v>#DIV/0!</v>
      </c>
      <c r="J18" s="87" t="e">
        <f t="shared" si="3"/>
        <v>#DIV/0!</v>
      </c>
      <c r="K18" s="87" t="e">
        <f t="shared" si="3"/>
        <v>#DIV/0!</v>
      </c>
      <c r="L18" s="84" t="e">
        <f t="shared" si="4"/>
        <v>#DIV/0!</v>
      </c>
    </row>
    <row r="19" spans="1:12" x14ac:dyDescent="0.25">
      <c r="A19" s="135" t="s">
        <v>82</v>
      </c>
      <c r="B19" s="287" t="s">
        <v>83</v>
      </c>
      <c r="C19" s="100"/>
      <c r="D19" s="100"/>
      <c r="E19" s="84" t="e">
        <f t="shared" si="0"/>
        <v>#DIV/0!</v>
      </c>
      <c r="F19" s="85"/>
      <c r="G19" s="86" t="e">
        <f t="shared" si="1"/>
        <v>#DIV/0!</v>
      </c>
      <c r="H19" s="86" t="e">
        <f t="shared" si="1"/>
        <v>#DIV/0!</v>
      </c>
      <c r="I19" s="84" t="e">
        <f t="shared" si="2"/>
        <v>#DIV/0!</v>
      </c>
      <c r="J19" s="87" t="e">
        <f t="shared" si="3"/>
        <v>#DIV/0!</v>
      </c>
      <c r="K19" s="87" t="e">
        <f t="shared" si="3"/>
        <v>#DIV/0!</v>
      </c>
      <c r="L19" s="84" t="e">
        <f t="shared" si="4"/>
        <v>#DIV/0!</v>
      </c>
    </row>
    <row r="20" spans="1:12" x14ac:dyDescent="0.25">
      <c r="A20" s="135" t="s">
        <v>84</v>
      </c>
      <c r="B20" s="287" t="s">
        <v>85</v>
      </c>
      <c r="C20" s="100"/>
      <c r="D20" s="100"/>
      <c r="E20" s="84" t="e">
        <f t="shared" si="0"/>
        <v>#DIV/0!</v>
      </c>
      <c r="F20" s="85"/>
      <c r="G20" s="86" t="e">
        <f t="shared" si="1"/>
        <v>#DIV/0!</v>
      </c>
      <c r="H20" s="86" t="e">
        <f t="shared" si="1"/>
        <v>#DIV/0!</v>
      </c>
      <c r="I20" s="84" t="e">
        <f t="shared" si="2"/>
        <v>#DIV/0!</v>
      </c>
      <c r="J20" s="87" t="e">
        <f t="shared" si="3"/>
        <v>#DIV/0!</v>
      </c>
      <c r="K20" s="87" t="e">
        <f t="shared" si="3"/>
        <v>#DIV/0!</v>
      </c>
      <c r="L20" s="84" t="e">
        <f t="shared" si="4"/>
        <v>#DIV/0!</v>
      </c>
    </row>
    <row r="21" spans="1:12" x14ac:dyDescent="0.25">
      <c r="A21" s="135" t="s">
        <v>86</v>
      </c>
      <c r="B21" s="287" t="s">
        <v>87</v>
      </c>
      <c r="C21" s="100"/>
      <c r="D21" s="100"/>
      <c r="E21" s="84" t="e">
        <f t="shared" si="0"/>
        <v>#DIV/0!</v>
      </c>
      <c r="F21" s="85"/>
      <c r="G21" s="86" t="e">
        <f t="shared" si="1"/>
        <v>#DIV/0!</v>
      </c>
      <c r="H21" s="86" t="e">
        <f t="shared" si="1"/>
        <v>#DIV/0!</v>
      </c>
      <c r="I21" s="84" t="e">
        <f t="shared" si="2"/>
        <v>#DIV/0!</v>
      </c>
      <c r="J21" s="87" t="e">
        <f t="shared" si="3"/>
        <v>#DIV/0!</v>
      </c>
      <c r="K21" s="87" t="e">
        <f t="shared" si="3"/>
        <v>#DIV/0!</v>
      </c>
      <c r="L21" s="84" t="e">
        <f t="shared" si="4"/>
        <v>#DIV/0!</v>
      </c>
    </row>
    <row r="22" spans="1:12" x14ac:dyDescent="0.25">
      <c r="A22" s="135" t="s">
        <v>88</v>
      </c>
      <c r="B22" s="287" t="s">
        <v>89</v>
      </c>
      <c r="C22" s="101"/>
      <c r="D22" s="101"/>
      <c r="E22" s="84" t="e">
        <f t="shared" si="0"/>
        <v>#DIV/0!</v>
      </c>
      <c r="F22" s="84">
        <f>C22-D22</f>
        <v>0</v>
      </c>
      <c r="G22" s="88"/>
      <c r="H22" s="88"/>
      <c r="I22" s="85"/>
      <c r="J22" s="88"/>
      <c r="K22" s="88"/>
      <c r="L22" s="88"/>
    </row>
    <row r="24" spans="1:12" ht="20.25" thickBot="1" x14ac:dyDescent="0.35">
      <c r="A24" s="4" t="s">
        <v>90</v>
      </c>
      <c r="B24" s="4"/>
    </row>
    <row r="25" spans="1:12" ht="16.5" thickTop="1" x14ac:dyDescent="0.25">
      <c r="A25" s="89" t="s">
        <v>91</v>
      </c>
      <c r="G25" s="90" t="e">
        <f>G14+G18-G16-G19-G20</f>
        <v>#DIV/0!</v>
      </c>
      <c r="H25" s="90" t="e">
        <f>H14+H18-H16-H19-H20</f>
        <v>#DIV/0!</v>
      </c>
    </row>
    <row r="26" spans="1:12" x14ac:dyDescent="0.25">
      <c r="A26" s="89" t="s">
        <v>92</v>
      </c>
      <c r="G26" s="91" t="e">
        <f>G25-G21</f>
        <v>#DIV/0!</v>
      </c>
      <c r="H26" s="91" t="e">
        <f>H25-H21</f>
        <v>#DIV/0!</v>
      </c>
    </row>
    <row r="28" spans="1:12" ht="21.75" thickBot="1" x14ac:dyDescent="0.4">
      <c r="A28" s="131" t="s">
        <v>93</v>
      </c>
      <c r="B28" s="4"/>
    </row>
    <row r="29" spans="1:12" ht="17.25" thickTop="1" thickBot="1" x14ac:dyDescent="0.3">
      <c r="A29" s="99" t="s">
        <v>94</v>
      </c>
      <c r="J29" s="92" t="e">
        <f>G16/G14</f>
        <v>#DIV/0!</v>
      </c>
      <c r="K29" s="84" t="e">
        <f>H16/H14</f>
        <v>#DIV/0!</v>
      </c>
      <c r="L29" s="84" t="e">
        <f t="shared" ref="L29" si="5">J29-K29</f>
        <v>#DIV/0!</v>
      </c>
    </row>
    <row r="30" spans="1:12" ht="16.5" thickBot="1" x14ac:dyDescent="0.3">
      <c r="A30" s="99" t="s">
        <v>95</v>
      </c>
      <c r="J30" s="93" t="e">
        <f>J29/K29-1</f>
        <v>#DIV/0!</v>
      </c>
      <c r="K30" s="94"/>
    </row>
    <row r="31" spans="1:12" x14ac:dyDescent="0.25">
      <c r="A31" s="89"/>
    </row>
    <row r="32" spans="1:12" ht="16.5" thickBot="1" x14ac:dyDescent="0.3">
      <c r="A32" s="89" t="s">
        <v>96</v>
      </c>
      <c r="J32" s="92" t="e">
        <f>G16/(G14+G18)</f>
        <v>#DIV/0!</v>
      </c>
      <c r="K32" s="92" t="e">
        <f>H16/(H14+H18)</f>
        <v>#DIV/0!</v>
      </c>
      <c r="L32" s="84" t="e">
        <f>J32-K32</f>
        <v>#DIV/0!</v>
      </c>
    </row>
    <row r="33" spans="1:12" ht="16.5" thickBot="1" x14ac:dyDescent="0.3">
      <c r="A33" s="99" t="s">
        <v>97</v>
      </c>
      <c r="J33" s="283" t="e">
        <f>J32/K32-1</f>
        <v>#DIV/0!</v>
      </c>
      <c r="K33" s="94"/>
    </row>
    <row r="34" spans="1:12" x14ac:dyDescent="0.25">
      <c r="A34" s="95"/>
      <c r="I34" s="96"/>
      <c r="J34" s="97"/>
    </row>
    <row r="35" spans="1:12" ht="21.75" thickBot="1" x14ac:dyDescent="0.4">
      <c r="A35" s="131" t="s">
        <v>61</v>
      </c>
      <c r="B35" s="4"/>
    </row>
    <row r="36" spans="1:12" ht="32.25" thickTop="1" x14ac:dyDescent="0.25">
      <c r="A36" s="306" t="s">
        <v>64</v>
      </c>
      <c r="B36" s="612" t="s">
        <v>61</v>
      </c>
      <c r="C36" s="612"/>
      <c r="D36" s="612"/>
      <c r="E36" s="612"/>
      <c r="F36" s="612"/>
      <c r="G36" s="612"/>
      <c r="H36" s="612"/>
      <c r="I36" s="612"/>
      <c r="J36" s="612"/>
      <c r="K36" s="612"/>
      <c r="L36" s="612"/>
    </row>
    <row r="37" spans="1:12" x14ac:dyDescent="0.25">
      <c r="A37" s="136"/>
      <c r="B37" s="611"/>
      <c r="C37" s="611"/>
      <c r="D37" s="611"/>
      <c r="E37" s="611"/>
      <c r="F37" s="611"/>
      <c r="G37" s="611"/>
      <c r="H37" s="611"/>
      <c r="I37" s="611"/>
      <c r="J37" s="611"/>
      <c r="K37" s="611"/>
      <c r="L37" s="611"/>
    </row>
    <row r="38" spans="1:12" x14ac:dyDescent="0.25">
      <c r="A38" s="136"/>
      <c r="B38" s="611"/>
      <c r="C38" s="611"/>
      <c r="D38" s="611"/>
      <c r="E38" s="611"/>
      <c r="F38" s="611"/>
      <c r="G38" s="611"/>
      <c r="H38" s="611"/>
      <c r="I38" s="611"/>
      <c r="J38" s="611"/>
      <c r="K38" s="611"/>
      <c r="L38" s="611"/>
    </row>
    <row r="39" spans="1:12" x14ac:dyDescent="0.25">
      <c r="A39" s="136"/>
      <c r="B39" s="611"/>
      <c r="C39" s="611"/>
      <c r="D39" s="611"/>
      <c r="E39" s="611"/>
      <c r="F39" s="611"/>
      <c r="G39" s="611"/>
      <c r="H39" s="611"/>
      <c r="I39" s="611"/>
      <c r="J39" s="611"/>
      <c r="K39" s="611"/>
      <c r="L39" s="611"/>
    </row>
    <row r="40" spans="1:12" x14ac:dyDescent="0.25">
      <c r="A40" s="136"/>
      <c r="B40" s="611"/>
      <c r="C40" s="611"/>
      <c r="D40" s="611"/>
      <c r="E40" s="611"/>
      <c r="F40" s="611"/>
      <c r="G40" s="611"/>
      <c r="H40" s="611"/>
      <c r="I40" s="611"/>
      <c r="J40" s="611"/>
      <c r="K40" s="611"/>
      <c r="L40" s="611"/>
    </row>
    <row r="41" spans="1:12" x14ac:dyDescent="0.25">
      <c r="A41" s="136"/>
      <c r="B41" s="611"/>
      <c r="C41" s="611"/>
      <c r="D41" s="611"/>
      <c r="E41" s="611"/>
      <c r="F41" s="611"/>
      <c r="G41" s="611"/>
      <c r="H41" s="611"/>
      <c r="I41" s="611"/>
      <c r="J41" s="611"/>
      <c r="K41" s="611"/>
      <c r="L41" s="611"/>
    </row>
    <row r="42" spans="1:12" x14ac:dyDescent="0.25">
      <c r="A42" s="136"/>
      <c r="B42" s="611"/>
      <c r="C42" s="611"/>
      <c r="D42" s="611"/>
      <c r="E42" s="611"/>
      <c r="F42" s="611"/>
      <c r="G42" s="611"/>
      <c r="H42" s="611"/>
      <c r="I42" s="611"/>
      <c r="J42" s="611"/>
      <c r="K42" s="611"/>
      <c r="L42" s="611"/>
    </row>
    <row r="43" spans="1:12" x14ac:dyDescent="0.25">
      <c r="A43" s="136"/>
      <c r="B43" s="611"/>
      <c r="C43" s="611"/>
      <c r="D43" s="611"/>
      <c r="E43" s="611"/>
      <c r="F43" s="611"/>
      <c r="G43" s="611"/>
      <c r="H43" s="611"/>
      <c r="I43" s="611"/>
      <c r="J43" s="611"/>
      <c r="K43" s="611"/>
      <c r="L43" s="611"/>
    </row>
    <row r="44" spans="1:12" x14ac:dyDescent="0.25">
      <c r="A44" s="136"/>
      <c r="B44" s="611"/>
      <c r="C44" s="611"/>
      <c r="D44" s="611"/>
      <c r="E44" s="611"/>
      <c r="F44" s="611"/>
      <c r="G44" s="611"/>
      <c r="H44" s="611"/>
      <c r="I44" s="611"/>
      <c r="J44" s="611"/>
      <c r="K44" s="611"/>
      <c r="L44" s="611"/>
    </row>
    <row r="45" spans="1:12" x14ac:dyDescent="0.25">
      <c r="A45" s="136"/>
      <c r="B45" s="611"/>
      <c r="C45" s="611"/>
      <c r="D45" s="611"/>
      <c r="E45" s="611"/>
      <c r="F45" s="611"/>
      <c r="G45" s="611"/>
      <c r="H45" s="611"/>
      <c r="I45" s="611"/>
      <c r="J45" s="611"/>
      <c r="K45" s="611"/>
      <c r="L45" s="611"/>
    </row>
    <row r="46" spans="1:12" x14ac:dyDescent="0.25">
      <c r="A46" s="136"/>
      <c r="B46" s="611"/>
      <c r="C46" s="611"/>
      <c r="D46" s="611"/>
      <c r="E46" s="611"/>
      <c r="F46" s="611"/>
      <c r="G46" s="611"/>
      <c r="H46" s="611"/>
      <c r="I46" s="611"/>
      <c r="J46" s="611"/>
      <c r="K46" s="611"/>
      <c r="L46" s="611"/>
    </row>
    <row r="47" spans="1:12" x14ac:dyDescent="0.25">
      <c r="A47" s="280"/>
      <c r="B47" s="611"/>
      <c r="C47" s="611"/>
      <c r="D47" s="611"/>
      <c r="E47" s="611"/>
      <c r="F47" s="611"/>
      <c r="G47" s="611"/>
      <c r="H47" s="611"/>
      <c r="I47" s="611"/>
      <c r="J47" s="611"/>
      <c r="K47" s="611"/>
      <c r="L47" s="611"/>
    </row>
    <row r="48" spans="1:12" x14ac:dyDescent="0.25">
      <c r="A48" s="280"/>
      <c r="B48" s="611"/>
      <c r="C48" s="611"/>
      <c r="D48" s="611"/>
      <c r="E48" s="611"/>
      <c r="F48" s="611"/>
      <c r="G48" s="611"/>
      <c r="H48" s="611"/>
      <c r="I48" s="611"/>
      <c r="J48" s="611"/>
      <c r="K48" s="611"/>
      <c r="L48" s="611"/>
    </row>
    <row r="49" spans="1:12" x14ac:dyDescent="0.25">
      <c r="A49" s="280"/>
      <c r="B49" s="611"/>
      <c r="C49" s="611"/>
      <c r="D49" s="611"/>
      <c r="E49" s="611"/>
      <c r="F49" s="611"/>
      <c r="G49" s="611"/>
      <c r="H49" s="611"/>
      <c r="I49" s="611"/>
      <c r="J49" s="611"/>
      <c r="K49" s="611"/>
      <c r="L49" s="611"/>
    </row>
    <row r="50" spans="1:12" x14ac:dyDescent="0.25">
      <c r="A50" s="280"/>
      <c r="B50" s="611"/>
      <c r="C50" s="611"/>
      <c r="D50" s="611"/>
      <c r="E50" s="611"/>
      <c r="F50" s="611"/>
      <c r="G50" s="611"/>
      <c r="H50" s="611"/>
      <c r="I50" s="611"/>
      <c r="J50" s="611"/>
      <c r="K50" s="611"/>
      <c r="L50" s="611"/>
    </row>
  </sheetData>
  <mergeCells count="19">
    <mergeCell ref="B46:L46"/>
    <mergeCell ref="B47:L47"/>
    <mergeCell ref="B48:L48"/>
    <mergeCell ref="B49:L49"/>
    <mergeCell ref="B50:L50"/>
    <mergeCell ref="C6:L6"/>
    <mergeCell ref="C4:L4"/>
    <mergeCell ref="B42:L42"/>
    <mergeCell ref="B43:L43"/>
    <mergeCell ref="C3:L3"/>
    <mergeCell ref="C5:L5"/>
    <mergeCell ref="B44:L44"/>
    <mergeCell ref="B45:L45"/>
    <mergeCell ref="B36:L36"/>
    <mergeCell ref="B37:L37"/>
    <mergeCell ref="B38:L38"/>
    <mergeCell ref="B39:L39"/>
    <mergeCell ref="B40:L40"/>
    <mergeCell ref="B41:L41"/>
  </mergeCells>
  <conditionalFormatting sqref="E13:F22 N29">
    <cfRule type="expression" dxfId="27" priority="5" stopIfTrue="1">
      <formula>ABS(E13)&gt;10%</formula>
    </cfRule>
    <cfRule type="expression" dxfId="26" priority="6">
      <formula>ABS(E13)&gt;5%</formula>
    </cfRule>
  </conditionalFormatting>
  <conditionalFormatting sqref="F14:F22">
    <cfRule type="expression" dxfId="25" priority="17" stopIfTrue="1">
      <formula>ABS(F14)&gt;10%</formula>
    </cfRule>
    <cfRule type="expression" dxfId="24" priority="18">
      <formula>ABS(F14)&gt;5%</formula>
    </cfRule>
  </conditionalFormatting>
  <conditionalFormatting sqref="G26:H26">
    <cfRule type="expression" dxfId="23" priority="13" stopIfTrue="1">
      <formula>ABS(G26)&gt;1</formula>
    </cfRule>
    <cfRule type="expression" dxfId="22" priority="14">
      <formula>ABS(J26)&gt;0.5</formula>
    </cfRule>
  </conditionalFormatting>
  <conditionalFormatting sqref="I14:I21">
    <cfRule type="expression" dxfId="21" priority="21" stopIfTrue="1">
      <formula>ABS(I14)&gt;10%</formula>
    </cfRule>
    <cfRule type="expression" dxfId="20" priority="22">
      <formula>ABS(I14)&gt;5%</formula>
    </cfRule>
  </conditionalFormatting>
  <conditionalFormatting sqref="L15:L21">
    <cfRule type="expression" dxfId="19" priority="15" stopIfTrue="1">
      <formula>ABS(L15)&gt;10%</formula>
    </cfRule>
    <cfRule type="expression" dxfId="18" priority="16">
      <formula>ABS(L15)&gt;5%</formula>
    </cfRule>
  </conditionalFormatting>
  <conditionalFormatting sqref="L29">
    <cfRule type="expression" dxfId="17" priority="7" stopIfTrue="1">
      <formula>ABS(L29)&gt;10%</formula>
    </cfRule>
    <cfRule type="expression" dxfId="16" priority="8">
      <formula>ABS(L29)&gt;5%</formula>
    </cfRule>
  </conditionalFormatting>
  <conditionalFormatting sqref="L32">
    <cfRule type="expression" dxfId="15" priority="3" stopIfTrue="1">
      <formula>ABS(L32)&gt;10%</formula>
    </cfRule>
    <cfRule type="expression" dxfId="14" priority="4">
      <formula>ABS(L32)&gt;5%</formula>
    </cfRule>
  </conditionalFormatting>
  <printOptions horizontalCentered="1"/>
  <pageMargins left="0.25" right="0.25" top="0.75" bottom="0.75" header="0.25" footer="0.25"/>
  <pageSetup scale="59" orientation="landscape" horizontalDpi="1200" verticalDpi="1200" r:id="rId1"/>
  <headerFooter>
    <oddFooter>&amp;L2026 IND &amp;&amp; SG ACA MEDICAL RATE FILINGS -- COMMON EXHIBITS&amp;R04/07/2025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3A536-7B8E-46FD-A99A-C9903683AFB8}">
  <sheetPr codeName="Sheet3">
    <tabColor theme="9" tint="-0.499984740745262"/>
    <outlinePr summaryRight="0"/>
    <pageSetUpPr fitToPage="1"/>
  </sheetPr>
  <dimension ref="A1:W57"/>
  <sheetViews>
    <sheetView showGridLines="0" zoomScale="70" zoomScaleNormal="70" workbookViewId="0">
      <pane ySplit="9" topLeftCell="A10" activePane="bottomLeft" state="frozen"/>
      <selection pane="bottomLeft"/>
    </sheetView>
  </sheetViews>
  <sheetFormatPr defaultRowHeight="15.75" x14ac:dyDescent="0.25"/>
  <cols>
    <col min="1" max="1" width="31.7109375" style="82" bestFit="1" customWidth="1"/>
    <col min="2" max="2" width="16.85546875" style="82" bestFit="1" customWidth="1"/>
    <col min="3" max="3" width="15.85546875" style="82" bestFit="1" customWidth="1"/>
    <col min="4" max="4" width="15.5703125" style="82" customWidth="1"/>
    <col min="5" max="5" width="20.42578125" style="82" bestFit="1" customWidth="1"/>
    <col min="6" max="6" width="3.7109375" style="82" customWidth="1"/>
    <col min="7" max="7" width="22.85546875" style="82" customWidth="1"/>
    <col min="8" max="8" width="15.28515625" style="82" bestFit="1" customWidth="1"/>
    <col min="9" max="9" width="13" style="82" bestFit="1" customWidth="1"/>
    <col min="10" max="10" width="14.42578125" style="82" bestFit="1" customWidth="1"/>
    <col min="11" max="11" width="15.85546875" style="82" bestFit="1" customWidth="1"/>
    <col min="12" max="12" width="16.85546875" style="82" bestFit="1" customWidth="1"/>
    <col min="13" max="13" width="12" style="82" bestFit="1" customWidth="1"/>
    <col min="14" max="14" width="8.85546875" style="82" bestFit="1" customWidth="1"/>
    <col min="15" max="15" width="3.5703125" style="82" customWidth="1"/>
    <col min="16" max="16384" width="9.140625" style="82"/>
  </cols>
  <sheetData>
    <row r="1" spans="1:23" ht="26.25" x14ac:dyDescent="0.4">
      <c r="A1" s="76" t="s">
        <v>98</v>
      </c>
    </row>
    <row r="2" spans="1:23" customFormat="1" ht="15" x14ac:dyDescent="0.25"/>
    <row r="3" spans="1:23" ht="21" customHeight="1" x14ac:dyDescent="0.35">
      <c r="A3" s="268" t="s">
        <v>38</v>
      </c>
      <c r="C3" s="614" t="str">
        <f>CarrierName</f>
        <v>ABC Company</v>
      </c>
      <c r="D3" s="614"/>
      <c r="E3" s="614"/>
      <c r="F3" s="614"/>
      <c r="G3" s="614"/>
      <c r="H3" s="614"/>
      <c r="I3" s="614"/>
      <c r="J3" s="614"/>
      <c r="K3" s="614"/>
      <c r="L3" s="614"/>
      <c r="P3"/>
      <c r="Q3"/>
      <c r="R3"/>
      <c r="S3"/>
      <c r="T3"/>
      <c r="U3"/>
      <c r="V3"/>
      <c r="W3"/>
    </row>
    <row r="4" spans="1:23" ht="21" x14ac:dyDescent="0.35">
      <c r="A4" s="268" t="s">
        <v>0</v>
      </c>
      <c r="C4" s="614" t="str">
        <f>Market</f>
        <v>Individual</v>
      </c>
      <c r="D4" s="614"/>
      <c r="E4" s="614"/>
      <c r="F4" s="614"/>
      <c r="G4" s="614"/>
      <c r="H4" s="614"/>
      <c r="I4" s="614"/>
      <c r="J4" s="614"/>
      <c r="K4" s="614"/>
      <c r="L4" s="614"/>
      <c r="P4"/>
      <c r="Q4"/>
      <c r="R4"/>
      <c r="S4"/>
      <c r="T4"/>
      <c r="U4"/>
      <c r="V4"/>
      <c r="W4"/>
    </row>
    <row r="5" spans="1:23" ht="21" x14ac:dyDescent="0.35">
      <c r="A5" s="268" t="s">
        <v>40</v>
      </c>
      <c r="C5" s="614">
        <f>PlanYear</f>
        <v>2026</v>
      </c>
      <c r="D5" s="614"/>
      <c r="E5" s="614"/>
      <c r="F5" s="614"/>
      <c r="G5" s="614"/>
      <c r="H5" s="614"/>
      <c r="I5" s="614"/>
      <c r="J5" s="614"/>
      <c r="K5" s="614"/>
      <c r="L5" s="614"/>
      <c r="P5"/>
      <c r="Q5"/>
      <c r="R5"/>
      <c r="S5"/>
      <c r="T5"/>
      <c r="U5"/>
      <c r="V5"/>
      <c r="W5"/>
    </row>
    <row r="6" spans="1:23" ht="21" x14ac:dyDescent="0.35">
      <c r="A6" s="268" t="s">
        <v>41</v>
      </c>
      <c r="C6" s="614">
        <f>ExperYear</f>
        <v>2024</v>
      </c>
      <c r="D6" s="614"/>
      <c r="E6" s="614"/>
      <c r="F6" s="614"/>
      <c r="G6" s="614"/>
      <c r="H6" s="614"/>
      <c r="I6" s="614"/>
      <c r="J6" s="614"/>
      <c r="K6" s="614"/>
      <c r="L6" s="614"/>
    </row>
    <row r="7" spans="1:23" customFormat="1" x14ac:dyDescent="0.25">
      <c r="A7" s="263"/>
      <c r="P7" s="82"/>
      <c r="Q7" s="82"/>
      <c r="R7" s="82"/>
      <c r="S7" s="82"/>
      <c r="T7" s="82"/>
      <c r="U7" s="82"/>
      <c r="V7" s="82"/>
      <c r="W7" s="82"/>
    </row>
    <row r="8" spans="1:23" customFormat="1" ht="15" x14ac:dyDescent="0.25">
      <c r="A8" s="263"/>
    </row>
    <row r="9" spans="1:23" ht="21.75" thickBot="1" x14ac:dyDescent="0.4">
      <c r="A9" s="131" t="s">
        <v>99</v>
      </c>
      <c r="B9" s="131"/>
      <c r="F9" s="132"/>
      <c r="G9" s="131" t="s">
        <v>100</v>
      </c>
      <c r="H9" s="131"/>
      <c r="I9" s="131"/>
    </row>
    <row r="10" spans="1:23" ht="21.75" thickTop="1" x14ac:dyDescent="0.35">
      <c r="A10" s="78" t="str">
        <f>"EXPERIENCE -- "&amp;ExperYear-2</f>
        <v>EXPERIENCE -- 2022</v>
      </c>
      <c r="B10" s="103"/>
    </row>
    <row r="11" spans="1:23" ht="7.5" customHeight="1" x14ac:dyDescent="0.25"/>
    <row r="12" spans="1:23" x14ac:dyDescent="0.25">
      <c r="A12" s="286" t="s">
        <v>101</v>
      </c>
      <c r="B12" s="104" t="s">
        <v>102</v>
      </c>
      <c r="C12" s="104" t="s">
        <v>103</v>
      </c>
      <c r="D12" s="104" t="s">
        <v>104</v>
      </c>
      <c r="E12" s="104" t="s">
        <v>105</v>
      </c>
    </row>
    <row r="13" spans="1:23" x14ac:dyDescent="0.25">
      <c r="A13" s="287" t="s">
        <v>50</v>
      </c>
      <c r="B13" s="156" t="s">
        <v>106</v>
      </c>
      <c r="C13" s="105"/>
      <c r="D13" s="106"/>
      <c r="E13" s="107">
        <f>D13*C13/12000</f>
        <v>0</v>
      </c>
    </row>
    <row r="14" spans="1:23" x14ac:dyDescent="0.25">
      <c r="A14" s="287" t="s">
        <v>51</v>
      </c>
      <c r="B14" s="156" t="s">
        <v>107</v>
      </c>
      <c r="C14" s="105"/>
      <c r="D14" s="106"/>
      <c r="E14" s="107">
        <f>D14*C14/12000</f>
        <v>0</v>
      </c>
    </row>
    <row r="15" spans="1:23" x14ac:dyDescent="0.25">
      <c r="A15" s="287" t="s">
        <v>52</v>
      </c>
      <c r="B15" s="156" t="s">
        <v>107</v>
      </c>
      <c r="C15" s="105"/>
      <c r="D15" s="106"/>
      <c r="E15" s="107">
        <f>D15*C15/12000</f>
        <v>0</v>
      </c>
    </row>
    <row r="16" spans="1:23" x14ac:dyDescent="0.25">
      <c r="A16" s="287" t="s">
        <v>108</v>
      </c>
      <c r="B16" s="156" t="s">
        <v>109</v>
      </c>
      <c r="C16" s="105"/>
      <c r="D16" s="106"/>
      <c r="E16" s="107">
        <f>D16*C16/12000</f>
        <v>0</v>
      </c>
    </row>
    <row r="17" spans="1:14" ht="16.5" thickBot="1" x14ac:dyDescent="0.3">
      <c r="A17" s="288" t="s">
        <v>110</v>
      </c>
      <c r="B17" s="108"/>
      <c r="C17" s="109"/>
      <c r="D17" s="110"/>
      <c r="E17" s="110">
        <f>SUM(E13:E16)</f>
        <v>0</v>
      </c>
    </row>
    <row r="18" spans="1:14" ht="16.5" thickTop="1" x14ac:dyDescent="0.25">
      <c r="D18" s="102"/>
    </row>
    <row r="19" spans="1:14" s="132" customFormat="1" ht="21.75" thickBot="1" x14ac:dyDescent="0.4">
      <c r="A19" s="78" t="str">
        <f>"EXPERIENCE -- "&amp;ExperYear-1</f>
        <v>EXPERIENCE -- 2023</v>
      </c>
      <c r="B19" s="133"/>
      <c r="G19" s="133" t="str">
        <f>"EXPERIENCE TREND -- "&amp;RIGHT(A10,4)&amp;" to "&amp;RIGHT(A19,4)</f>
        <v>EXPERIENCE TREND -- 2022 to 2023</v>
      </c>
      <c r="I19" s="78"/>
    </row>
    <row r="20" spans="1:14" x14ac:dyDescent="0.25">
      <c r="A20" s="77"/>
      <c r="B20" s="103"/>
      <c r="G20" s="103"/>
      <c r="H20" s="111"/>
      <c r="I20" s="112"/>
      <c r="J20" s="113"/>
      <c r="K20" s="114" t="s">
        <v>111</v>
      </c>
      <c r="L20" s="115"/>
      <c r="M20" s="116"/>
      <c r="N20" s="117"/>
    </row>
    <row r="21" spans="1:14" ht="31.5" x14ac:dyDescent="0.25">
      <c r="A21" s="297" t="s">
        <v>101</v>
      </c>
      <c r="B21" s="298" t="s">
        <v>102</v>
      </c>
      <c r="C21" s="298" t="s">
        <v>103</v>
      </c>
      <c r="D21" s="298" t="s">
        <v>104</v>
      </c>
      <c r="E21" s="298" t="s">
        <v>105</v>
      </c>
      <c r="F21" s="299"/>
      <c r="G21" s="297" t="s">
        <v>112</v>
      </c>
      <c r="H21" s="300" t="s">
        <v>113</v>
      </c>
      <c r="I21" s="298" t="s">
        <v>114</v>
      </c>
      <c r="J21" s="301" t="s">
        <v>104</v>
      </c>
      <c r="K21" s="302" t="s">
        <v>115</v>
      </c>
      <c r="L21" s="298" t="s">
        <v>116</v>
      </c>
      <c r="M21" s="298" t="s">
        <v>104</v>
      </c>
      <c r="N21" s="301" t="s">
        <v>117</v>
      </c>
    </row>
    <row r="22" spans="1:14" x14ac:dyDescent="0.25">
      <c r="A22" s="287" t="s">
        <v>50</v>
      </c>
      <c r="B22" s="156" t="s">
        <v>106</v>
      </c>
      <c r="C22" s="105"/>
      <c r="D22" s="106"/>
      <c r="E22" s="107">
        <f>D22*C22/12000</f>
        <v>0</v>
      </c>
      <c r="G22" s="289" t="s">
        <v>50</v>
      </c>
      <c r="H22" s="121" t="str">
        <f>IFERROR(E22/E13-1,"")</f>
        <v/>
      </c>
      <c r="I22" s="122" t="str">
        <f>IFERROR(C22/C13-1,"")</f>
        <v/>
      </c>
      <c r="J22" s="123" t="str">
        <f>IFERROR(D22/D13-1,"")</f>
        <v/>
      </c>
      <c r="K22" s="139"/>
      <c r="L22" s="140"/>
      <c r="M22" s="122" cm="1">
        <f t="array" ref="M22">PRODUCT(1+K22:L22)-1</f>
        <v>0</v>
      </c>
      <c r="N22" s="572" t="str">
        <f>IFERROR((1+M22)=(1+J22),"TBD")</f>
        <v>TBD</v>
      </c>
    </row>
    <row r="23" spans="1:14" x14ac:dyDescent="0.25">
      <c r="A23" s="287" t="s">
        <v>51</v>
      </c>
      <c r="B23" s="156" t="s">
        <v>107</v>
      </c>
      <c r="C23" s="105"/>
      <c r="D23" s="106"/>
      <c r="E23" s="107">
        <f>D23*C23/12000</f>
        <v>0</v>
      </c>
      <c r="G23" s="289" t="s">
        <v>51</v>
      </c>
      <c r="H23" s="121" t="str">
        <f t="shared" ref="H23:H26" si="0">IFERROR(E23/E14-1,"")</f>
        <v/>
      </c>
      <c r="I23" s="122" t="str">
        <f t="shared" ref="I23:I25" si="1">IFERROR(C23/C14-1,"")</f>
        <v/>
      </c>
      <c r="J23" s="123" t="str">
        <f t="shared" ref="J23:J25" si="2">IFERROR(D23/D14-1,"")</f>
        <v/>
      </c>
      <c r="K23" s="139"/>
      <c r="L23" s="140"/>
      <c r="M23" s="122" cm="1">
        <f t="array" ref="M23">PRODUCT(1+K23:L23)-1</f>
        <v>0</v>
      </c>
      <c r="N23" s="572" t="str">
        <f t="shared" ref="N23:N25" si="3">IFERROR((1+M23)=(1+J23),"TBD")</f>
        <v>TBD</v>
      </c>
    </row>
    <row r="24" spans="1:14" x14ac:dyDescent="0.25">
      <c r="A24" s="287" t="s">
        <v>52</v>
      </c>
      <c r="B24" s="156" t="s">
        <v>107</v>
      </c>
      <c r="C24" s="105"/>
      <c r="D24" s="106"/>
      <c r="E24" s="107">
        <f>D24*C24/12000</f>
        <v>0</v>
      </c>
      <c r="G24" s="289" t="s">
        <v>52</v>
      </c>
      <c r="H24" s="121" t="str">
        <f t="shared" si="0"/>
        <v/>
      </c>
      <c r="I24" s="122" t="str">
        <f t="shared" si="1"/>
        <v/>
      </c>
      <c r="J24" s="123" t="str">
        <f t="shared" si="2"/>
        <v/>
      </c>
      <c r="K24" s="139"/>
      <c r="L24" s="140"/>
      <c r="M24" s="122" cm="1">
        <f t="array" ref="M24">PRODUCT(1+K24:L24)-1</f>
        <v>0</v>
      </c>
      <c r="N24" s="572" t="str">
        <f t="shared" si="3"/>
        <v>TBD</v>
      </c>
    </row>
    <row r="25" spans="1:14" x14ac:dyDescent="0.25">
      <c r="A25" s="287" t="s">
        <v>108</v>
      </c>
      <c r="B25" s="156" t="s">
        <v>109</v>
      </c>
      <c r="C25" s="105"/>
      <c r="D25" s="106"/>
      <c r="E25" s="107">
        <f>D25*C25/12000</f>
        <v>0</v>
      </c>
      <c r="G25" s="289" t="s">
        <v>108</v>
      </c>
      <c r="H25" s="121" t="str">
        <f t="shared" si="0"/>
        <v/>
      </c>
      <c r="I25" s="122" t="str">
        <f t="shared" si="1"/>
        <v/>
      </c>
      <c r="J25" s="123" t="str">
        <f t="shared" si="2"/>
        <v/>
      </c>
      <c r="K25" s="139"/>
      <c r="L25" s="140"/>
      <c r="M25" s="122" cm="1">
        <f t="array" ref="M25">PRODUCT(1+K25:L25)-1</f>
        <v>0</v>
      </c>
      <c r="N25" s="572" t="str">
        <f t="shared" si="3"/>
        <v>TBD</v>
      </c>
    </row>
    <row r="26" spans="1:14" ht="16.5" thickBot="1" x14ac:dyDescent="0.3">
      <c r="A26" s="288" t="s">
        <v>110</v>
      </c>
      <c r="B26" s="108"/>
      <c r="C26" s="109"/>
      <c r="D26" s="110"/>
      <c r="E26" s="110">
        <f>SUM(E22:E25)</f>
        <v>0</v>
      </c>
      <c r="G26" s="290" t="s">
        <v>110</v>
      </c>
      <c r="H26" s="124" t="str">
        <f t="shared" si="0"/>
        <v/>
      </c>
      <c r="I26" s="125"/>
      <c r="J26" s="126"/>
      <c r="K26" s="127"/>
      <c r="L26" s="125"/>
      <c r="M26" s="128"/>
      <c r="N26" s="126"/>
    </row>
    <row r="27" spans="1:14" ht="16.5" thickTop="1" x14ac:dyDescent="0.25"/>
    <row r="28" spans="1:14" s="132" customFormat="1" ht="21.75" thickBot="1" x14ac:dyDescent="0.4">
      <c r="A28" s="78" t="str">
        <f>"EXPERIENCE -- "&amp;ExperYear</f>
        <v>EXPERIENCE -- 2024</v>
      </c>
      <c r="B28" s="133"/>
      <c r="G28" s="133" t="str">
        <f>"EXPERIENCE TREND -- "&amp;RIGHT(A19,4)&amp;" to "&amp;RIGHT(A28,4)</f>
        <v>EXPERIENCE TREND -- 2023 to 2024</v>
      </c>
      <c r="I28" s="78"/>
    </row>
    <row r="29" spans="1:14" x14ac:dyDescent="0.25">
      <c r="A29" s="77"/>
      <c r="B29" s="103"/>
      <c r="G29" s="103"/>
      <c r="H29" s="111"/>
      <c r="I29" s="112"/>
      <c r="J29" s="113"/>
      <c r="K29" s="114" t="s">
        <v>111</v>
      </c>
      <c r="L29" s="115"/>
      <c r="M29" s="116"/>
      <c r="N29" s="117"/>
    </row>
    <row r="30" spans="1:14" ht="31.5" x14ac:dyDescent="0.25">
      <c r="A30" s="297" t="s">
        <v>101</v>
      </c>
      <c r="B30" s="298" t="s">
        <v>102</v>
      </c>
      <c r="C30" s="298" t="s">
        <v>103</v>
      </c>
      <c r="D30" s="298" t="s">
        <v>104</v>
      </c>
      <c r="E30" s="298" t="s">
        <v>105</v>
      </c>
      <c r="F30" s="299"/>
      <c r="G30" s="297" t="s">
        <v>112</v>
      </c>
      <c r="H30" s="300" t="s">
        <v>113</v>
      </c>
      <c r="I30" s="298" t="s">
        <v>114</v>
      </c>
      <c r="J30" s="301" t="s">
        <v>104</v>
      </c>
      <c r="K30" s="302" t="s">
        <v>115</v>
      </c>
      <c r="L30" s="298" t="s">
        <v>116</v>
      </c>
      <c r="M30" s="298" t="s">
        <v>104</v>
      </c>
      <c r="N30" s="301" t="s">
        <v>117</v>
      </c>
    </row>
    <row r="31" spans="1:14" x14ac:dyDescent="0.25">
      <c r="A31" s="287" t="s">
        <v>50</v>
      </c>
      <c r="B31" s="156" t="s">
        <v>106</v>
      </c>
      <c r="C31" s="105"/>
      <c r="D31" s="106"/>
      <c r="E31" s="107">
        <f>D31*C31/12000</f>
        <v>0</v>
      </c>
      <c r="G31" s="287" t="s">
        <v>50</v>
      </c>
      <c r="H31" s="121" t="str">
        <f>IFERROR(E31/E22-1,"")</f>
        <v/>
      </c>
      <c r="I31" s="122" t="str">
        <f>IFERROR(C31/C22-1,"")</f>
        <v/>
      </c>
      <c r="J31" s="123" t="str">
        <f>IFERROR(D31/D22-1,"")</f>
        <v/>
      </c>
      <c r="K31" s="139"/>
      <c r="L31" s="140"/>
      <c r="M31" s="122" cm="1">
        <f t="array" ref="M31">PRODUCT(1+K31:L31)-1</f>
        <v>0</v>
      </c>
      <c r="N31" s="572" t="str">
        <f>IFERROR((1+M31)=(1+J31),"TBD")</f>
        <v>TBD</v>
      </c>
    </row>
    <row r="32" spans="1:14" x14ac:dyDescent="0.25">
      <c r="A32" s="287" t="s">
        <v>51</v>
      </c>
      <c r="B32" s="156" t="s">
        <v>107</v>
      </c>
      <c r="C32" s="105"/>
      <c r="D32" s="106"/>
      <c r="E32" s="107">
        <f>D32*C32/12000</f>
        <v>0</v>
      </c>
      <c r="G32" s="287" t="s">
        <v>51</v>
      </c>
      <c r="H32" s="121" t="str">
        <f t="shared" ref="H32:H35" si="4">IFERROR(E32/E23-1,"")</f>
        <v/>
      </c>
      <c r="I32" s="122" t="str">
        <f t="shared" ref="I32:I34" si="5">IFERROR(C32/C23-1,"")</f>
        <v/>
      </c>
      <c r="J32" s="123" t="str">
        <f t="shared" ref="J32:J34" si="6">IFERROR(D32/D23-1,"")</f>
        <v/>
      </c>
      <c r="K32" s="139"/>
      <c r="L32" s="140"/>
      <c r="M32" s="122" cm="1">
        <f t="array" ref="M32">PRODUCT(1+K32:L32)-1</f>
        <v>0</v>
      </c>
      <c r="N32" s="572" t="str">
        <f t="shared" ref="N32:N34" si="7">IFERROR((1+M32)=(1+J32),"TBD")</f>
        <v>TBD</v>
      </c>
    </row>
    <row r="33" spans="1:14" x14ac:dyDescent="0.25">
      <c r="A33" s="287" t="s">
        <v>52</v>
      </c>
      <c r="B33" s="156" t="s">
        <v>107</v>
      </c>
      <c r="C33" s="105"/>
      <c r="D33" s="106"/>
      <c r="E33" s="107">
        <f>D33*C33/12000</f>
        <v>0</v>
      </c>
      <c r="G33" s="287" t="s">
        <v>52</v>
      </c>
      <c r="H33" s="121" t="str">
        <f t="shared" si="4"/>
        <v/>
      </c>
      <c r="I33" s="122" t="str">
        <f t="shared" si="5"/>
        <v/>
      </c>
      <c r="J33" s="123" t="str">
        <f t="shared" si="6"/>
        <v/>
      </c>
      <c r="K33" s="139"/>
      <c r="L33" s="140"/>
      <c r="M33" s="122" cm="1">
        <f t="array" ref="M33">PRODUCT(1+K33:L33)-1</f>
        <v>0</v>
      </c>
      <c r="N33" s="572" t="str">
        <f t="shared" si="7"/>
        <v>TBD</v>
      </c>
    </row>
    <row r="34" spans="1:14" x14ac:dyDescent="0.25">
      <c r="A34" s="287" t="s">
        <v>108</v>
      </c>
      <c r="B34" s="156" t="s">
        <v>109</v>
      </c>
      <c r="C34" s="105"/>
      <c r="D34" s="106"/>
      <c r="E34" s="107">
        <f>D34*C34/12000</f>
        <v>0</v>
      </c>
      <c r="G34" s="287" t="s">
        <v>108</v>
      </c>
      <c r="H34" s="121" t="str">
        <f t="shared" si="4"/>
        <v/>
      </c>
      <c r="I34" s="122" t="str">
        <f t="shared" si="5"/>
        <v/>
      </c>
      <c r="J34" s="123" t="str">
        <f t="shared" si="6"/>
        <v/>
      </c>
      <c r="K34" s="139"/>
      <c r="L34" s="140"/>
      <c r="M34" s="122" cm="1">
        <f t="array" ref="M34">PRODUCT(1+K34:L34)-1</f>
        <v>0</v>
      </c>
      <c r="N34" s="572" t="str">
        <f t="shared" si="7"/>
        <v>TBD</v>
      </c>
    </row>
    <row r="35" spans="1:14" ht="16.5" thickBot="1" x14ac:dyDescent="0.3">
      <c r="A35" s="288" t="s">
        <v>110</v>
      </c>
      <c r="B35" s="129"/>
      <c r="C35" s="108"/>
      <c r="D35" s="110"/>
      <c r="E35" s="110">
        <f>SUM(E31:E34)</f>
        <v>0</v>
      </c>
      <c r="G35" s="290" t="s">
        <v>110</v>
      </c>
      <c r="H35" s="124" t="str">
        <f t="shared" si="4"/>
        <v/>
      </c>
      <c r="I35" s="125"/>
      <c r="J35" s="126"/>
      <c r="K35" s="127"/>
      <c r="L35" s="125"/>
      <c r="M35" s="128"/>
      <c r="N35" s="126"/>
    </row>
    <row r="36" spans="1:14" ht="16.5" thickTop="1" x14ac:dyDescent="0.25"/>
    <row r="37" spans="1:14" s="132" customFormat="1" ht="21.75" thickBot="1" x14ac:dyDescent="0.4">
      <c r="A37" s="78" t="str">
        <f>"PROJECTED (i.e., EXPECTED) -- "&amp;PlanYear</f>
        <v>PROJECTED (i.e., EXPECTED) -- 2026</v>
      </c>
      <c r="B37" s="133"/>
      <c r="G37" s="133" t="str">
        <f>"ANNUALIZED PROJECTED TREND -- "&amp;ExperYear&amp;" to "&amp;PlanYear</f>
        <v>ANNUALIZED PROJECTED TREND -- 2024 to 2026</v>
      </c>
      <c r="I37" s="78"/>
    </row>
    <row r="38" spans="1:14" x14ac:dyDescent="0.25">
      <c r="A38" s="77"/>
      <c r="B38" s="103"/>
      <c r="G38" s="103"/>
      <c r="H38" s="111"/>
      <c r="I38" s="112"/>
      <c r="J38" s="113"/>
      <c r="K38" s="114" t="s">
        <v>111</v>
      </c>
      <c r="L38" s="115"/>
      <c r="M38" s="116"/>
      <c r="N38" s="117"/>
    </row>
    <row r="39" spans="1:14" ht="31.5" x14ac:dyDescent="0.25">
      <c r="A39" s="104" t="s">
        <v>101</v>
      </c>
      <c r="B39" s="104" t="s">
        <v>102</v>
      </c>
      <c r="C39" s="104" t="s">
        <v>103</v>
      </c>
      <c r="D39" s="104" t="s">
        <v>104</v>
      </c>
      <c r="E39" s="104" t="s">
        <v>105</v>
      </c>
      <c r="F39" s="303"/>
      <c r="G39" s="104" t="s">
        <v>112</v>
      </c>
      <c r="H39" s="118" t="s">
        <v>113</v>
      </c>
      <c r="I39" s="104" t="s">
        <v>114</v>
      </c>
      <c r="J39" s="119" t="s">
        <v>104</v>
      </c>
      <c r="K39" s="120" t="s">
        <v>115</v>
      </c>
      <c r="L39" s="104" t="s">
        <v>116</v>
      </c>
      <c r="M39" s="104" t="s">
        <v>104</v>
      </c>
      <c r="N39" s="119" t="s">
        <v>117</v>
      </c>
    </row>
    <row r="40" spans="1:14" x14ac:dyDescent="0.25">
      <c r="A40" s="287" t="s">
        <v>50</v>
      </c>
      <c r="B40" s="156" t="s">
        <v>106</v>
      </c>
      <c r="C40" s="105"/>
      <c r="D40" s="106"/>
      <c r="E40" s="107">
        <f>D40*C40/12000</f>
        <v>0</v>
      </c>
      <c r="G40" s="287" t="s">
        <v>50</v>
      </c>
      <c r="H40" s="121" t="str">
        <f>IFERROR((E40/E31)^0.5-1,"")</f>
        <v/>
      </c>
      <c r="I40" s="122" t="str">
        <f>IFERROR((C40/C31)^0.5-1,"")</f>
        <v/>
      </c>
      <c r="J40" s="123" t="str">
        <f>IFERROR((D40/D31)^0.5-1,"")</f>
        <v/>
      </c>
      <c r="K40" s="139"/>
      <c r="L40" s="140"/>
      <c r="M40" s="122" cm="1">
        <f t="array" ref="M40">PRODUCT(1+K40:L40)-1</f>
        <v>0</v>
      </c>
      <c r="N40" s="572" t="str">
        <f>IFERROR((1+M40)=(1+J40),"TBD")</f>
        <v>TBD</v>
      </c>
    </row>
    <row r="41" spans="1:14" x14ac:dyDescent="0.25">
      <c r="A41" s="287" t="s">
        <v>51</v>
      </c>
      <c r="B41" s="156" t="s">
        <v>107</v>
      </c>
      <c r="C41" s="105"/>
      <c r="D41" s="106"/>
      <c r="E41" s="107">
        <f>D41*C41/12000</f>
        <v>0</v>
      </c>
      <c r="G41" s="287" t="s">
        <v>51</v>
      </c>
      <c r="H41" s="121" t="str">
        <f t="shared" ref="H41:H44" si="8">IFERROR((E41/E32)^0.5-1,"")</f>
        <v/>
      </c>
      <c r="I41" s="122" t="str">
        <f t="shared" ref="I41:I43" si="9">IFERROR((C41/C32)^0.5-1,"")</f>
        <v/>
      </c>
      <c r="J41" s="123" t="str">
        <f t="shared" ref="J41:J43" si="10">IFERROR((D41/D32)^0.5-1,"")</f>
        <v/>
      </c>
      <c r="K41" s="139"/>
      <c r="L41" s="140"/>
      <c r="M41" s="122" cm="1">
        <f t="array" ref="M41">PRODUCT(1+K41:L41)-1</f>
        <v>0</v>
      </c>
      <c r="N41" s="572" t="str">
        <f t="shared" ref="N41:N43" si="11">IFERROR((1+M41)=(1+J41),"TBD")</f>
        <v>TBD</v>
      </c>
    </row>
    <row r="42" spans="1:14" x14ac:dyDescent="0.25">
      <c r="A42" s="287" t="s">
        <v>52</v>
      </c>
      <c r="B42" s="156" t="s">
        <v>107</v>
      </c>
      <c r="C42" s="105"/>
      <c r="D42" s="106"/>
      <c r="E42" s="107">
        <f>D42*C42/12000</f>
        <v>0</v>
      </c>
      <c r="G42" s="287" t="s">
        <v>52</v>
      </c>
      <c r="H42" s="121" t="str">
        <f t="shared" si="8"/>
        <v/>
      </c>
      <c r="I42" s="122" t="str">
        <f t="shared" si="9"/>
        <v/>
      </c>
      <c r="J42" s="123" t="str">
        <f t="shared" si="10"/>
        <v/>
      </c>
      <c r="K42" s="139"/>
      <c r="L42" s="140"/>
      <c r="M42" s="122" cm="1">
        <f t="array" ref="M42">PRODUCT(1+K42:L42)-1</f>
        <v>0</v>
      </c>
      <c r="N42" s="572" t="str">
        <f t="shared" si="11"/>
        <v>TBD</v>
      </c>
    </row>
    <row r="43" spans="1:14" x14ac:dyDescent="0.25">
      <c r="A43" s="287" t="s">
        <v>108</v>
      </c>
      <c r="B43" s="156" t="s">
        <v>109</v>
      </c>
      <c r="C43" s="105"/>
      <c r="D43" s="106"/>
      <c r="E43" s="107">
        <f>D43*C43/12000</f>
        <v>0</v>
      </c>
      <c r="G43" s="287" t="s">
        <v>108</v>
      </c>
      <c r="H43" s="121" t="str">
        <f t="shared" si="8"/>
        <v/>
      </c>
      <c r="I43" s="122" t="str">
        <f t="shared" si="9"/>
        <v/>
      </c>
      <c r="J43" s="123" t="str">
        <f t="shared" si="10"/>
        <v/>
      </c>
      <c r="K43" s="139"/>
      <c r="L43" s="140"/>
      <c r="M43" s="122" cm="1">
        <f t="array" ref="M43">PRODUCT(1+K43:L43)-1</f>
        <v>0</v>
      </c>
      <c r="N43" s="572" t="str">
        <f t="shared" si="11"/>
        <v>TBD</v>
      </c>
    </row>
    <row r="44" spans="1:14" ht="16.5" thickBot="1" x14ac:dyDescent="0.3">
      <c r="A44" s="288" t="s">
        <v>110</v>
      </c>
      <c r="B44" s="129"/>
      <c r="C44" s="108"/>
      <c r="D44" s="110"/>
      <c r="E44" s="110">
        <f>SUM(E40:E43)</f>
        <v>0</v>
      </c>
      <c r="G44" s="290" t="s">
        <v>110</v>
      </c>
      <c r="H44" s="124" t="str">
        <f t="shared" si="8"/>
        <v/>
      </c>
      <c r="I44" s="125"/>
      <c r="J44" s="126"/>
      <c r="K44" s="127"/>
      <c r="L44" s="125"/>
      <c r="M44" s="128"/>
      <c r="N44" s="126"/>
    </row>
    <row r="45" spans="1:14" ht="16.5" thickTop="1" x14ac:dyDescent="0.25"/>
    <row r="46" spans="1:14" x14ac:dyDescent="0.25">
      <c r="I46" s="102"/>
      <c r="N46" s="130"/>
    </row>
    <row r="47" spans="1:14" s="132" customFormat="1" ht="21.75" thickBot="1" x14ac:dyDescent="0.4">
      <c r="A47" s="131" t="s">
        <v>61</v>
      </c>
      <c r="B47" s="131"/>
      <c r="C47" s="131"/>
    </row>
    <row r="48" spans="1:14" ht="16.5" thickTop="1" x14ac:dyDescent="0.25">
      <c r="A48" s="605"/>
      <c r="B48" s="605"/>
      <c r="C48" s="605"/>
      <c r="D48" s="605"/>
      <c r="E48" s="605"/>
      <c r="F48" s="605"/>
      <c r="G48" s="605"/>
      <c r="H48" s="605"/>
      <c r="I48" s="605"/>
      <c r="J48" s="605"/>
      <c r="K48" s="605"/>
      <c r="L48" s="605"/>
      <c r="M48" s="605"/>
      <c r="N48" s="605"/>
    </row>
    <row r="49" spans="1:14" x14ac:dyDescent="0.25">
      <c r="A49" s="605"/>
      <c r="B49" s="605"/>
      <c r="C49" s="605"/>
      <c r="D49" s="605"/>
      <c r="E49" s="605"/>
      <c r="F49" s="605"/>
      <c r="G49" s="605"/>
      <c r="H49" s="605"/>
      <c r="I49" s="605"/>
      <c r="J49" s="605"/>
      <c r="K49" s="605"/>
      <c r="L49" s="605"/>
      <c r="M49" s="605"/>
      <c r="N49" s="605"/>
    </row>
    <row r="50" spans="1:14" x14ac:dyDescent="0.25">
      <c r="A50" s="605"/>
      <c r="B50" s="605"/>
      <c r="C50" s="605"/>
      <c r="D50" s="605"/>
      <c r="E50" s="605"/>
      <c r="F50" s="605"/>
      <c r="G50" s="605"/>
      <c r="H50" s="605"/>
      <c r="I50" s="605"/>
      <c r="J50" s="605"/>
      <c r="K50" s="605"/>
      <c r="L50" s="605"/>
      <c r="M50" s="605"/>
      <c r="N50" s="605"/>
    </row>
    <row r="51" spans="1:14" x14ac:dyDescent="0.25">
      <c r="A51" s="605"/>
      <c r="B51" s="605"/>
      <c r="C51" s="605"/>
      <c r="D51" s="605"/>
      <c r="E51" s="605"/>
      <c r="F51" s="605"/>
      <c r="G51" s="605"/>
      <c r="H51" s="605"/>
      <c r="I51" s="605"/>
      <c r="J51" s="605"/>
      <c r="K51" s="605"/>
      <c r="L51" s="605"/>
      <c r="M51" s="605"/>
      <c r="N51" s="605"/>
    </row>
    <row r="52" spans="1:14" x14ac:dyDescent="0.25">
      <c r="A52" s="605"/>
      <c r="B52" s="605"/>
      <c r="C52" s="605"/>
      <c r="D52" s="605"/>
      <c r="E52" s="605"/>
      <c r="F52" s="605"/>
      <c r="G52" s="605"/>
      <c r="H52" s="605"/>
      <c r="I52" s="605"/>
      <c r="J52" s="605"/>
      <c r="K52" s="605"/>
      <c r="L52" s="605"/>
      <c r="M52" s="605"/>
      <c r="N52" s="605"/>
    </row>
    <row r="53" spans="1:14" x14ac:dyDescent="0.25">
      <c r="A53" s="605"/>
      <c r="B53" s="605"/>
      <c r="C53" s="605"/>
      <c r="D53" s="605"/>
      <c r="E53" s="605"/>
      <c r="F53" s="605"/>
      <c r="G53" s="605"/>
      <c r="H53" s="605"/>
      <c r="I53" s="605"/>
      <c r="J53" s="605"/>
      <c r="K53" s="605"/>
      <c r="L53" s="605"/>
      <c r="M53" s="605"/>
      <c r="N53" s="605"/>
    </row>
    <row r="54" spans="1:14" x14ac:dyDescent="0.25">
      <c r="A54" s="600"/>
      <c r="B54" s="600"/>
      <c r="C54" s="600"/>
      <c r="D54" s="600"/>
      <c r="E54" s="600"/>
      <c r="F54" s="600"/>
      <c r="G54" s="600"/>
      <c r="H54" s="600"/>
      <c r="I54" s="600"/>
      <c r="J54" s="600"/>
      <c r="K54" s="600"/>
      <c r="L54" s="600"/>
      <c r="M54" s="600"/>
      <c r="N54" s="600"/>
    </row>
    <row r="55" spans="1:14" x14ac:dyDescent="0.25">
      <c r="A55" s="600"/>
      <c r="B55" s="600"/>
      <c r="C55" s="600"/>
      <c r="D55" s="600"/>
      <c r="E55" s="600"/>
      <c r="F55" s="600"/>
      <c r="G55" s="600"/>
      <c r="H55" s="600"/>
      <c r="I55" s="600"/>
      <c r="J55" s="600"/>
      <c r="K55" s="600"/>
      <c r="L55" s="600"/>
      <c r="M55" s="600"/>
      <c r="N55" s="600"/>
    </row>
    <row r="56" spans="1:14" x14ac:dyDescent="0.25">
      <c r="A56" s="600"/>
      <c r="B56" s="600"/>
      <c r="C56" s="600"/>
      <c r="D56" s="600"/>
      <c r="E56" s="600"/>
      <c r="F56" s="600"/>
      <c r="G56" s="600"/>
      <c r="H56" s="600"/>
      <c r="I56" s="600"/>
      <c r="J56" s="600"/>
      <c r="K56" s="600"/>
      <c r="L56" s="600"/>
      <c r="M56" s="600"/>
      <c r="N56" s="600"/>
    </row>
    <row r="57" spans="1:14" x14ac:dyDescent="0.25">
      <c r="A57" s="600"/>
      <c r="B57" s="600"/>
      <c r="C57" s="600"/>
      <c r="D57" s="600"/>
      <c r="E57" s="600"/>
      <c r="F57" s="600"/>
      <c r="G57" s="600"/>
      <c r="H57" s="600"/>
      <c r="I57" s="600"/>
      <c r="J57" s="600"/>
      <c r="K57" s="600"/>
      <c r="L57" s="600"/>
      <c r="M57" s="600"/>
      <c r="N57" s="600"/>
    </row>
  </sheetData>
  <mergeCells count="10">
    <mergeCell ref="A53:N53"/>
    <mergeCell ref="C3:L3"/>
    <mergeCell ref="C5:L5"/>
    <mergeCell ref="C6:L6"/>
    <mergeCell ref="C4:L4"/>
    <mergeCell ref="A50:N50"/>
    <mergeCell ref="A51:N51"/>
    <mergeCell ref="A52:N52"/>
    <mergeCell ref="A48:N48"/>
    <mergeCell ref="A49:N49"/>
  </mergeCells>
  <conditionalFormatting sqref="N22:N25 N31:N34 N40:N43">
    <cfRule type="cellIs" dxfId="13" priority="1" operator="equal">
      <formula>FALSE</formula>
    </cfRule>
  </conditionalFormatting>
  <printOptions horizontalCentered="1"/>
  <pageMargins left="0.25" right="0.25" top="0.75" bottom="0.75" header="0.25" footer="0.25"/>
  <pageSetup scale="52" orientation="landscape" horizontalDpi="1200" verticalDpi="1200" r:id="rId1"/>
  <headerFooter>
    <oddFooter>&amp;L2026 IND &amp;&amp; SG ACA MEDICAL RATE FILINGS -- COMMON EXHIBITS&amp;R04/07/2025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49821-65FA-443E-A353-27EC71323B68}">
  <sheetPr>
    <tabColor theme="0" tint="-0.499984740745262"/>
    <outlinePr summaryRight="0"/>
    <pageSetUpPr fitToPage="1"/>
  </sheetPr>
  <dimension ref="A1:W58"/>
  <sheetViews>
    <sheetView showGridLines="0" zoomScale="70" zoomScaleNormal="70" workbookViewId="0">
      <pane ySplit="10" topLeftCell="A11" activePane="bottomLeft" state="frozen"/>
      <selection pane="bottomLeft" activeCell="A11" sqref="A11"/>
    </sheetView>
  </sheetViews>
  <sheetFormatPr defaultRowHeight="15.75" x14ac:dyDescent="0.25"/>
  <cols>
    <col min="1" max="1" width="31.7109375" style="82" bestFit="1" customWidth="1"/>
    <col min="2" max="2" width="16.85546875" style="82" bestFit="1" customWidth="1"/>
    <col min="3" max="3" width="15.85546875" style="82" bestFit="1" customWidth="1"/>
    <col min="4" max="4" width="15.5703125" style="82" customWidth="1"/>
    <col min="5" max="5" width="20.42578125" style="82" bestFit="1" customWidth="1"/>
    <col min="6" max="6" width="3.7109375" style="82" customWidth="1"/>
    <col min="7" max="7" width="22.85546875" style="82" customWidth="1"/>
    <col min="8" max="8" width="15.28515625" style="82" bestFit="1" customWidth="1"/>
    <col min="9" max="9" width="13" style="82" bestFit="1" customWidth="1"/>
    <col min="10" max="10" width="14.42578125" style="82" bestFit="1" customWidth="1"/>
    <col min="11" max="11" width="15.85546875" style="82" bestFit="1" customWidth="1"/>
    <col min="12" max="12" width="16.85546875" style="82" bestFit="1" customWidth="1"/>
    <col min="13" max="13" width="12" style="82" bestFit="1" customWidth="1"/>
    <col min="14" max="14" width="8.85546875" style="82" bestFit="1" customWidth="1"/>
    <col min="15" max="15" width="3.5703125" style="82" customWidth="1"/>
    <col min="16" max="16384" width="9.140625" style="82"/>
  </cols>
  <sheetData>
    <row r="1" spans="1:23" ht="26.25" x14ac:dyDescent="0.4">
      <c r="A1" s="76" t="s">
        <v>98</v>
      </c>
    </row>
    <row r="2" spans="1:23" ht="21" x14ac:dyDescent="0.35">
      <c r="A2" s="571" t="s">
        <v>118</v>
      </c>
      <c r="B2" s="227"/>
      <c r="C2" s="227"/>
      <c r="D2" s="227"/>
      <c r="E2" s="227"/>
    </row>
    <row r="3" spans="1:23" customFormat="1" x14ac:dyDescent="0.25">
      <c r="A3" s="285" t="s">
        <v>119</v>
      </c>
      <c r="B3" s="227"/>
      <c r="C3" s="227"/>
      <c r="D3" s="227"/>
      <c r="E3" s="227"/>
    </row>
    <row r="4" spans="1:23" ht="21" customHeight="1" x14ac:dyDescent="0.35">
      <c r="A4" s="268" t="s">
        <v>38</v>
      </c>
      <c r="C4" s="614" t="str">
        <f>CarrierName</f>
        <v>ABC Company</v>
      </c>
      <c r="D4" s="614"/>
      <c r="E4" s="614"/>
      <c r="F4" s="614"/>
      <c r="G4" s="614"/>
      <c r="H4" s="614"/>
      <c r="I4" s="614"/>
      <c r="J4" s="614"/>
      <c r="K4" s="614"/>
      <c r="L4" s="614"/>
    </row>
    <row r="5" spans="1:23" ht="21" x14ac:dyDescent="0.35">
      <c r="A5" s="268" t="s">
        <v>0</v>
      </c>
      <c r="C5" s="614" t="str">
        <f>Market</f>
        <v>Individual</v>
      </c>
      <c r="D5" s="614"/>
      <c r="E5" s="614"/>
      <c r="F5" s="614"/>
      <c r="G5" s="614"/>
      <c r="H5" s="614"/>
      <c r="I5" s="614"/>
      <c r="J5" s="614"/>
      <c r="K5" s="614"/>
      <c r="L5" s="614"/>
    </row>
    <row r="6" spans="1:23" ht="21" x14ac:dyDescent="0.35">
      <c r="A6" s="268" t="s">
        <v>40</v>
      </c>
      <c r="C6" s="614">
        <f>PlanYear</f>
        <v>2026</v>
      </c>
      <c r="D6" s="614"/>
      <c r="E6" s="614"/>
      <c r="F6" s="614"/>
      <c r="G6" s="614"/>
      <c r="H6" s="614"/>
      <c r="I6" s="614"/>
      <c r="J6" s="614"/>
      <c r="K6" s="614"/>
      <c r="L6" s="614"/>
      <c r="P6"/>
      <c r="Q6"/>
      <c r="R6"/>
      <c r="S6"/>
      <c r="T6"/>
      <c r="U6"/>
      <c r="V6"/>
      <c r="W6"/>
    </row>
    <row r="7" spans="1:23" ht="21" x14ac:dyDescent="0.35">
      <c r="A7" s="268" t="s">
        <v>41</v>
      </c>
      <c r="C7" s="614">
        <f>ExperYear</f>
        <v>2024</v>
      </c>
      <c r="D7" s="614"/>
      <c r="E7" s="614"/>
      <c r="F7" s="614"/>
      <c r="G7" s="614"/>
      <c r="H7" s="614"/>
      <c r="I7" s="614"/>
      <c r="J7" s="614"/>
      <c r="K7" s="614"/>
      <c r="L7" s="614"/>
    </row>
    <row r="8" spans="1:23" customFormat="1" x14ac:dyDescent="0.25">
      <c r="A8" s="263"/>
      <c r="P8" s="82"/>
      <c r="Q8" s="82"/>
      <c r="R8" s="82"/>
      <c r="S8" s="82"/>
      <c r="T8" s="82"/>
      <c r="U8" s="82"/>
      <c r="V8" s="82"/>
      <c r="W8" s="82"/>
    </row>
    <row r="9" spans="1:23" customFormat="1" ht="15" x14ac:dyDescent="0.25">
      <c r="A9" s="263"/>
    </row>
    <row r="10" spans="1:23" ht="21.75" thickBot="1" x14ac:dyDescent="0.4">
      <c r="A10" s="131" t="s">
        <v>99</v>
      </c>
      <c r="B10" s="131"/>
      <c r="F10" s="132"/>
      <c r="G10" s="131" t="s">
        <v>100</v>
      </c>
      <c r="H10" s="131"/>
      <c r="I10" s="131"/>
    </row>
    <row r="11" spans="1:23" ht="21.75" thickTop="1" x14ac:dyDescent="0.35">
      <c r="A11" s="78" t="str">
        <f>"EXPERIENCE -- "&amp;ExperYear-2</f>
        <v>EXPERIENCE -- 2022</v>
      </c>
      <c r="B11" s="103"/>
    </row>
    <row r="12" spans="1:23" ht="7.5" customHeight="1" x14ac:dyDescent="0.25"/>
    <row r="13" spans="1:23" x14ac:dyDescent="0.25">
      <c r="A13" s="286" t="s">
        <v>101</v>
      </c>
      <c r="B13" s="104" t="s">
        <v>102</v>
      </c>
      <c r="C13" s="104" t="s">
        <v>103</v>
      </c>
      <c r="D13" s="104" t="s">
        <v>104</v>
      </c>
      <c r="E13" s="104" t="s">
        <v>105</v>
      </c>
    </row>
    <row r="14" spans="1:23" x14ac:dyDescent="0.25">
      <c r="A14" s="287" t="s">
        <v>50</v>
      </c>
      <c r="B14" s="156" t="s">
        <v>106</v>
      </c>
      <c r="C14" s="105">
        <v>165</v>
      </c>
      <c r="D14" s="106">
        <v>6000</v>
      </c>
      <c r="E14" s="107">
        <f>D14*C14/12000</f>
        <v>82.5</v>
      </c>
    </row>
    <row r="15" spans="1:23" x14ac:dyDescent="0.25">
      <c r="A15" s="287" t="s">
        <v>51</v>
      </c>
      <c r="B15" s="156" t="s">
        <v>107</v>
      </c>
      <c r="C15" s="105">
        <v>4000</v>
      </c>
      <c r="D15" s="106">
        <v>450</v>
      </c>
      <c r="E15" s="107">
        <f>D15*C15/12000</f>
        <v>150</v>
      </c>
    </row>
    <row r="16" spans="1:23" x14ac:dyDescent="0.25">
      <c r="A16" s="287" t="s">
        <v>52</v>
      </c>
      <c r="B16" s="156" t="s">
        <v>107</v>
      </c>
      <c r="C16" s="105">
        <v>6600</v>
      </c>
      <c r="D16" s="106">
        <v>320</v>
      </c>
      <c r="E16" s="107">
        <f>D16*C16/12000</f>
        <v>176</v>
      </c>
    </row>
    <row r="17" spans="1:14" x14ac:dyDescent="0.25">
      <c r="A17" s="287" t="s">
        <v>108</v>
      </c>
      <c r="B17" s="156" t="s">
        <v>109</v>
      </c>
      <c r="C17" s="105">
        <v>11500</v>
      </c>
      <c r="D17" s="106">
        <v>135</v>
      </c>
      <c r="E17" s="107">
        <f>D17*C17/12000</f>
        <v>129.375</v>
      </c>
    </row>
    <row r="18" spans="1:14" ht="16.5" thickBot="1" x14ac:dyDescent="0.3">
      <c r="A18" s="288" t="s">
        <v>110</v>
      </c>
      <c r="B18" s="108"/>
      <c r="C18" s="109"/>
      <c r="D18" s="110"/>
      <c r="E18" s="110">
        <f>SUM(E14:E17)</f>
        <v>537.875</v>
      </c>
    </row>
    <row r="19" spans="1:14" ht="16.5" thickTop="1" x14ac:dyDescent="0.25">
      <c r="D19" s="102"/>
    </row>
    <row r="20" spans="1:14" s="132" customFormat="1" ht="21.75" thickBot="1" x14ac:dyDescent="0.4">
      <c r="A20" s="78" t="str">
        <f>"EXPERIENCE -- "&amp;ExperYear-1</f>
        <v>EXPERIENCE -- 2023</v>
      </c>
      <c r="B20" s="133"/>
      <c r="G20" s="133" t="str">
        <f>"EXPERIENCE TREND -- "&amp;RIGHT(A11,4)&amp;" to "&amp;RIGHT(A20,4)</f>
        <v>EXPERIENCE TREND -- 2022 to 2023</v>
      </c>
      <c r="I20" s="78"/>
    </row>
    <row r="21" spans="1:14" x14ac:dyDescent="0.25">
      <c r="A21" s="77"/>
      <c r="B21" s="103"/>
      <c r="G21" s="103"/>
      <c r="H21" s="111"/>
      <c r="I21" s="112"/>
      <c r="J21" s="113"/>
      <c r="K21" s="114" t="s">
        <v>111</v>
      </c>
      <c r="L21" s="115"/>
      <c r="M21" s="116"/>
      <c r="N21" s="117"/>
    </row>
    <row r="22" spans="1:14" ht="31.5" x14ac:dyDescent="0.25">
      <c r="A22" s="297" t="s">
        <v>101</v>
      </c>
      <c r="B22" s="298" t="s">
        <v>102</v>
      </c>
      <c r="C22" s="298" t="s">
        <v>103</v>
      </c>
      <c r="D22" s="298" t="s">
        <v>104</v>
      </c>
      <c r="E22" s="298" t="s">
        <v>105</v>
      </c>
      <c r="F22" s="299"/>
      <c r="G22" s="297" t="s">
        <v>112</v>
      </c>
      <c r="H22" s="300" t="s">
        <v>113</v>
      </c>
      <c r="I22" s="298" t="s">
        <v>114</v>
      </c>
      <c r="J22" s="301" t="s">
        <v>104</v>
      </c>
      <c r="K22" s="302" t="s">
        <v>115</v>
      </c>
      <c r="L22" s="298" t="s">
        <v>116</v>
      </c>
      <c r="M22" s="298" t="s">
        <v>104</v>
      </c>
      <c r="N22" s="301" t="s">
        <v>117</v>
      </c>
    </row>
    <row r="23" spans="1:14" x14ac:dyDescent="0.25">
      <c r="A23" s="287" t="s">
        <v>50</v>
      </c>
      <c r="B23" s="156" t="s">
        <v>106</v>
      </c>
      <c r="C23" s="105">
        <v>173.25</v>
      </c>
      <c r="D23" s="106">
        <v>6300</v>
      </c>
      <c r="E23" s="107">
        <f>D23*C23/12000</f>
        <v>90.956249999999997</v>
      </c>
      <c r="G23" s="289" t="s">
        <v>50</v>
      </c>
      <c r="H23" s="121">
        <f>E23/E14-1</f>
        <v>0.10250000000000004</v>
      </c>
      <c r="I23" s="122">
        <f t="shared" ref="I23:J26" si="0">C23/C14-1</f>
        <v>5.0000000000000044E-2</v>
      </c>
      <c r="J23" s="123">
        <f t="shared" si="0"/>
        <v>5.0000000000000044E-2</v>
      </c>
      <c r="K23" s="139">
        <v>0</v>
      </c>
      <c r="L23" s="140">
        <v>5.0000000000000044E-2</v>
      </c>
      <c r="M23" s="122" cm="1">
        <f t="array" ref="M23">PRODUCT(1+K23:L23)-1</f>
        <v>5.0000000000000044E-2</v>
      </c>
      <c r="N23" s="123" t="b">
        <f>(1+M23)=(1+J23)</f>
        <v>1</v>
      </c>
    </row>
    <row r="24" spans="1:14" x14ac:dyDescent="0.25">
      <c r="A24" s="287" t="s">
        <v>51</v>
      </c>
      <c r="B24" s="156" t="s">
        <v>107</v>
      </c>
      <c r="C24" s="105">
        <v>4400</v>
      </c>
      <c r="D24" s="106">
        <v>472.5</v>
      </c>
      <c r="E24" s="107">
        <f>D24*C24/12000</f>
        <v>173.25</v>
      </c>
      <c r="G24" s="289" t="s">
        <v>51</v>
      </c>
      <c r="H24" s="121">
        <f>E24/E15-1</f>
        <v>0.15500000000000003</v>
      </c>
      <c r="I24" s="122">
        <f t="shared" si="0"/>
        <v>0.10000000000000009</v>
      </c>
      <c r="J24" s="123">
        <f t="shared" si="0"/>
        <v>5.0000000000000044E-2</v>
      </c>
      <c r="K24" s="139">
        <v>0</v>
      </c>
      <c r="L24" s="140">
        <v>5.0000000000000044E-2</v>
      </c>
      <c r="M24" s="122" cm="1">
        <f t="array" ref="M24">PRODUCT(1+K24:L24)-1</f>
        <v>5.0000000000000044E-2</v>
      </c>
      <c r="N24" s="123" t="b">
        <f t="shared" ref="N24:N26" si="1">(1+M24)=(1+J24)</f>
        <v>1</v>
      </c>
    </row>
    <row r="25" spans="1:14" x14ac:dyDescent="0.25">
      <c r="A25" s="287" t="s">
        <v>52</v>
      </c>
      <c r="B25" s="156" t="s">
        <v>107</v>
      </c>
      <c r="C25" s="105">
        <v>7260.0000000000009</v>
      </c>
      <c r="D25" s="106">
        <v>336</v>
      </c>
      <c r="E25" s="107">
        <f>D25*C25/12000</f>
        <v>203.28000000000003</v>
      </c>
      <c r="G25" s="289" t="s">
        <v>52</v>
      </c>
      <c r="H25" s="121">
        <f>E25/E16-1</f>
        <v>0.15500000000000025</v>
      </c>
      <c r="I25" s="122">
        <f t="shared" si="0"/>
        <v>0.10000000000000009</v>
      </c>
      <c r="J25" s="123">
        <f t="shared" si="0"/>
        <v>5.0000000000000044E-2</v>
      </c>
      <c r="K25" s="139">
        <v>0</v>
      </c>
      <c r="L25" s="140">
        <v>5.0000000000000044E-2</v>
      </c>
      <c r="M25" s="122" cm="1">
        <f t="array" ref="M25">PRODUCT(1+K25:L25)-1</f>
        <v>5.0000000000000044E-2</v>
      </c>
      <c r="N25" s="123" t="b">
        <f t="shared" si="1"/>
        <v>1</v>
      </c>
    </row>
    <row r="26" spans="1:14" x14ac:dyDescent="0.25">
      <c r="A26" s="287" t="s">
        <v>108</v>
      </c>
      <c r="B26" s="156" t="s">
        <v>109</v>
      </c>
      <c r="C26" s="105">
        <v>13224.999999999998</v>
      </c>
      <c r="D26" s="106">
        <v>141.75</v>
      </c>
      <c r="E26" s="107">
        <f>D26*C26/12000</f>
        <v>156.22031249999998</v>
      </c>
      <c r="G26" s="289" t="s">
        <v>108</v>
      </c>
      <c r="H26" s="121">
        <f>E26/E17-1</f>
        <v>0.2074999999999998</v>
      </c>
      <c r="I26" s="122">
        <f t="shared" si="0"/>
        <v>0.14999999999999991</v>
      </c>
      <c r="J26" s="123">
        <f t="shared" si="0"/>
        <v>5.0000000000000044E-2</v>
      </c>
      <c r="K26" s="139">
        <v>0</v>
      </c>
      <c r="L26" s="140">
        <v>5.0000000000000044E-2</v>
      </c>
      <c r="M26" s="122" cm="1">
        <f t="array" ref="M26">PRODUCT(1+K26:L26)-1</f>
        <v>5.0000000000000044E-2</v>
      </c>
      <c r="N26" s="123" t="b">
        <f t="shared" si="1"/>
        <v>1</v>
      </c>
    </row>
    <row r="27" spans="1:14" ht="16.5" thickBot="1" x14ac:dyDescent="0.3">
      <c r="A27" s="288" t="s">
        <v>110</v>
      </c>
      <c r="B27" s="108"/>
      <c r="C27" s="109"/>
      <c r="D27" s="110"/>
      <c r="E27" s="110">
        <f>SUM(E23:E26)</f>
        <v>623.70656250000002</v>
      </c>
      <c r="G27" s="290" t="s">
        <v>110</v>
      </c>
      <c r="H27" s="124">
        <f>E27/E18-1</f>
        <v>0.15957529630490352</v>
      </c>
      <c r="I27" s="125"/>
      <c r="J27" s="126"/>
      <c r="K27" s="127"/>
      <c r="L27" s="125"/>
      <c r="M27" s="128"/>
      <c r="N27" s="126"/>
    </row>
    <row r="28" spans="1:14" ht="16.5" thickTop="1" x14ac:dyDescent="0.25"/>
    <row r="29" spans="1:14" s="132" customFormat="1" ht="21.75" thickBot="1" x14ac:dyDescent="0.4">
      <c r="A29" s="78" t="str">
        <f>"EXPERIENCE -- "&amp;ExperYear</f>
        <v>EXPERIENCE -- 2024</v>
      </c>
      <c r="B29" s="133"/>
      <c r="G29" s="133" t="str">
        <f>"EXPERIENCE TREND -- "&amp;RIGHT(A20,4)&amp;" to "&amp;RIGHT(A29,4)</f>
        <v>EXPERIENCE TREND -- 2023 to 2024</v>
      </c>
      <c r="I29" s="78"/>
    </row>
    <row r="30" spans="1:14" x14ac:dyDescent="0.25">
      <c r="A30" s="77"/>
      <c r="B30" s="103"/>
      <c r="G30" s="103"/>
      <c r="H30" s="111"/>
      <c r="I30" s="112"/>
      <c r="J30" s="113"/>
      <c r="K30" s="114" t="s">
        <v>111</v>
      </c>
      <c r="L30" s="115"/>
      <c r="M30" s="116"/>
      <c r="N30" s="117"/>
    </row>
    <row r="31" spans="1:14" ht="31.5" x14ac:dyDescent="0.25">
      <c r="A31" s="297" t="s">
        <v>101</v>
      </c>
      <c r="B31" s="298" t="s">
        <v>102</v>
      </c>
      <c r="C31" s="298" t="s">
        <v>103</v>
      </c>
      <c r="D31" s="298" t="s">
        <v>104</v>
      </c>
      <c r="E31" s="298" t="s">
        <v>105</v>
      </c>
      <c r="F31" s="299"/>
      <c r="G31" s="297" t="s">
        <v>112</v>
      </c>
      <c r="H31" s="300" t="s">
        <v>113</v>
      </c>
      <c r="I31" s="298" t="s">
        <v>114</v>
      </c>
      <c r="J31" s="301" t="s">
        <v>104</v>
      </c>
      <c r="K31" s="302" t="s">
        <v>115</v>
      </c>
      <c r="L31" s="298" t="s">
        <v>116</v>
      </c>
      <c r="M31" s="298" t="s">
        <v>104</v>
      </c>
      <c r="N31" s="301" t="s">
        <v>117</v>
      </c>
    </row>
    <row r="32" spans="1:14" x14ac:dyDescent="0.25">
      <c r="A32" s="287" t="s">
        <v>50</v>
      </c>
      <c r="B32" s="156" t="s">
        <v>106</v>
      </c>
      <c r="C32" s="105">
        <v>181.91249999999999</v>
      </c>
      <c r="D32" s="106">
        <v>6747.3</v>
      </c>
      <c r="E32" s="107">
        <f>D32*C32/12000</f>
        <v>102.2848509375</v>
      </c>
      <c r="G32" s="287" t="s">
        <v>50</v>
      </c>
      <c r="H32" s="121">
        <f>E32/E23-1</f>
        <v>0.12454999999999994</v>
      </c>
      <c r="I32" s="122">
        <f t="shared" ref="I32:J35" si="2">C32/C23-1</f>
        <v>5.0000000000000044E-2</v>
      </c>
      <c r="J32" s="123">
        <f t="shared" si="2"/>
        <v>7.0999999999999952E-2</v>
      </c>
      <c r="K32" s="139">
        <v>2.0000000000000018E-2</v>
      </c>
      <c r="L32" s="140">
        <v>5.0000000000000044E-2</v>
      </c>
      <c r="M32" s="122" cm="1">
        <f t="array" ref="M32">PRODUCT(1+K32:L32)-1</f>
        <v>7.1000000000000174E-2</v>
      </c>
      <c r="N32" s="123" t="b">
        <f>(1+M32)=(1+J32)</f>
        <v>1</v>
      </c>
    </row>
    <row r="33" spans="1:14" x14ac:dyDescent="0.25">
      <c r="A33" s="287" t="s">
        <v>51</v>
      </c>
      <c r="B33" s="156" t="s">
        <v>107</v>
      </c>
      <c r="C33" s="105">
        <v>4840</v>
      </c>
      <c r="D33" s="106">
        <v>525.79800000000012</v>
      </c>
      <c r="E33" s="107">
        <f>D33*C33/12000</f>
        <v>212.07186000000007</v>
      </c>
      <c r="G33" s="287" t="s">
        <v>51</v>
      </c>
      <c r="H33" s="121">
        <f>E33/E24-1</f>
        <v>0.2240800000000005</v>
      </c>
      <c r="I33" s="122">
        <f t="shared" si="2"/>
        <v>0.10000000000000009</v>
      </c>
      <c r="J33" s="123">
        <f t="shared" si="2"/>
        <v>0.11280000000000023</v>
      </c>
      <c r="K33" s="139">
        <v>4.0000000000000036E-2</v>
      </c>
      <c r="L33" s="140">
        <v>7.0000000000000062E-2</v>
      </c>
      <c r="M33" s="122" cm="1">
        <f t="array" ref="M33">PRODUCT(1+K33:L33)-1</f>
        <v>0.11280000000000001</v>
      </c>
      <c r="N33" s="123" t="b">
        <f t="shared" ref="N33:N35" si="3">(1+M33)=(1+J33)</f>
        <v>1</v>
      </c>
    </row>
    <row r="34" spans="1:14" x14ac:dyDescent="0.25">
      <c r="A34" s="287" t="s">
        <v>52</v>
      </c>
      <c r="B34" s="156" t="s">
        <v>107</v>
      </c>
      <c r="C34" s="105">
        <v>7920.0000000000009</v>
      </c>
      <c r="D34" s="106">
        <v>369.77203200000008</v>
      </c>
      <c r="E34" s="107">
        <f>D34*C34/12000</f>
        <v>244.04954112000007</v>
      </c>
      <c r="G34" s="287" t="s">
        <v>52</v>
      </c>
      <c r="H34" s="121">
        <f>E34/E25-1</f>
        <v>0.20055854545454554</v>
      </c>
      <c r="I34" s="122">
        <f t="shared" si="2"/>
        <v>9.0909090909090828E-2</v>
      </c>
      <c r="J34" s="123">
        <f t="shared" si="2"/>
        <v>0.10051200000000016</v>
      </c>
      <c r="K34" s="139">
        <v>1.15E-2</v>
      </c>
      <c r="L34" s="140">
        <v>8.7999999999999995E-2</v>
      </c>
      <c r="M34" s="122" cm="1">
        <f t="array" ref="M34">PRODUCT(1+K34:L34)-1</f>
        <v>0.10051200000000016</v>
      </c>
      <c r="N34" s="123" t="b">
        <f t="shared" si="3"/>
        <v>1</v>
      </c>
    </row>
    <row r="35" spans="1:14" x14ac:dyDescent="0.25">
      <c r="A35" s="287" t="s">
        <v>108</v>
      </c>
      <c r="B35" s="156" t="s">
        <v>109</v>
      </c>
      <c r="C35" s="105">
        <v>15208.749999999996</v>
      </c>
      <c r="D35" s="106">
        <v>160.74450000000002</v>
      </c>
      <c r="E35" s="107">
        <f>D35*C35/12000</f>
        <v>203.72690953124999</v>
      </c>
      <c r="G35" s="287" t="s">
        <v>108</v>
      </c>
      <c r="H35" s="121">
        <f>E35/E26-1</f>
        <v>0.30410000000000004</v>
      </c>
      <c r="I35" s="122">
        <f t="shared" si="2"/>
        <v>0.14999999999999991</v>
      </c>
      <c r="J35" s="123">
        <f t="shared" si="2"/>
        <v>0.13400000000000012</v>
      </c>
      <c r="K35" s="139">
        <v>5.0000000000000044E-2</v>
      </c>
      <c r="L35" s="140">
        <v>8.0000000000000071E-2</v>
      </c>
      <c r="M35" s="122" cm="1">
        <f t="array" ref="M35">PRODUCT(1+K35:L35)-1</f>
        <v>0.13400000000000012</v>
      </c>
      <c r="N35" s="123" t="b">
        <f t="shared" si="3"/>
        <v>1</v>
      </c>
    </row>
    <row r="36" spans="1:14" ht="16.5" thickBot="1" x14ac:dyDescent="0.3">
      <c r="A36" s="288" t="s">
        <v>110</v>
      </c>
      <c r="B36" s="129"/>
      <c r="C36" s="108"/>
      <c r="D36" s="110"/>
      <c r="E36" s="110">
        <f>SUM(E32:E35)</f>
        <v>762.13316158875</v>
      </c>
      <c r="G36" s="290" t="s">
        <v>110</v>
      </c>
      <c r="H36" s="124">
        <f>E36/E27-1</f>
        <v>0.22194186723624543</v>
      </c>
      <c r="I36" s="125"/>
      <c r="J36" s="126"/>
      <c r="K36" s="127"/>
      <c r="L36" s="125"/>
      <c r="M36" s="128"/>
      <c r="N36" s="126"/>
    </row>
    <row r="37" spans="1:14" ht="16.5" thickTop="1" x14ac:dyDescent="0.25"/>
    <row r="38" spans="1:14" s="132" customFormat="1" ht="21.75" thickBot="1" x14ac:dyDescent="0.4">
      <c r="A38" s="78" t="str">
        <f>"PROJECTED (i.e., EXPECTED) -- "&amp;PlanYear</f>
        <v>PROJECTED (i.e., EXPECTED) -- 2026</v>
      </c>
      <c r="B38" s="133"/>
      <c r="G38" s="133" t="str">
        <f>"ANNUALIZED PROJECTED TREND -- "&amp;ExperYear&amp;" to "&amp;PlanYear</f>
        <v>ANNUALIZED PROJECTED TREND -- 2024 to 2026</v>
      </c>
      <c r="I38" s="78"/>
    </row>
    <row r="39" spans="1:14" x14ac:dyDescent="0.25">
      <c r="A39" s="77"/>
      <c r="B39" s="103"/>
      <c r="G39" s="103"/>
      <c r="H39" s="111"/>
      <c r="I39" s="112"/>
      <c r="J39" s="113"/>
      <c r="K39" s="114" t="s">
        <v>111</v>
      </c>
      <c r="L39" s="115"/>
      <c r="M39" s="116"/>
      <c r="N39" s="117"/>
    </row>
    <row r="40" spans="1:14" ht="31.5" x14ac:dyDescent="0.25">
      <c r="A40" s="104" t="s">
        <v>101</v>
      </c>
      <c r="B40" s="104" t="s">
        <v>102</v>
      </c>
      <c r="C40" s="104" t="s">
        <v>103</v>
      </c>
      <c r="D40" s="104" t="s">
        <v>104</v>
      </c>
      <c r="E40" s="104" t="s">
        <v>105</v>
      </c>
      <c r="F40" s="303"/>
      <c r="G40" s="104" t="s">
        <v>112</v>
      </c>
      <c r="H40" s="118" t="s">
        <v>113</v>
      </c>
      <c r="I40" s="104" t="s">
        <v>114</v>
      </c>
      <c r="J40" s="119" t="s">
        <v>104</v>
      </c>
      <c r="K40" s="120" t="s">
        <v>115</v>
      </c>
      <c r="L40" s="104" t="s">
        <v>116</v>
      </c>
      <c r="M40" s="104" t="s">
        <v>104</v>
      </c>
      <c r="N40" s="119" t="s">
        <v>117</v>
      </c>
    </row>
    <row r="41" spans="1:14" x14ac:dyDescent="0.25">
      <c r="A41" s="287" t="s">
        <v>50</v>
      </c>
      <c r="B41" s="156" t="s">
        <v>106</v>
      </c>
      <c r="C41" s="105">
        <v>200</v>
      </c>
      <c r="D41" s="106">
        <v>7293.0375000000004</v>
      </c>
      <c r="E41" s="107">
        <f>D41*C41/12000</f>
        <v>121.550625</v>
      </c>
      <c r="G41" s="287" t="s">
        <v>50</v>
      </c>
      <c r="H41" s="121">
        <f>(E41/E32)^0.5-1</f>
        <v>9.0116566946214283E-2</v>
      </c>
      <c r="I41" s="122">
        <f t="shared" ref="I41:J44" si="4">(C41/C32)^0.5-1</f>
        <v>4.8536919167962544E-2</v>
      </c>
      <c r="J41" s="123">
        <f t="shared" si="4"/>
        <v>3.9654920125508086E-2</v>
      </c>
      <c r="K41" s="139">
        <v>2.4695076595959931E-2</v>
      </c>
      <c r="L41" s="140">
        <v>1.4599312391784691E-2</v>
      </c>
      <c r="M41" s="122" cm="1">
        <f t="array" ref="M41">PRODUCT(1+K41:L41)-1</f>
        <v>3.9654920125508086E-2</v>
      </c>
      <c r="N41" s="123" t="b">
        <f>(1+M41)=(1+J41)</f>
        <v>1</v>
      </c>
    </row>
    <row r="42" spans="1:14" x14ac:dyDescent="0.25">
      <c r="A42" s="287" t="s">
        <v>51</v>
      </c>
      <c r="B42" s="156" t="s">
        <v>107</v>
      </c>
      <c r="C42" s="105">
        <v>5324</v>
      </c>
      <c r="D42" s="106">
        <v>557.39643750000016</v>
      </c>
      <c r="E42" s="107">
        <f>D42*C42/12000</f>
        <v>247.29821943750008</v>
      </c>
      <c r="G42" s="287" t="s">
        <v>51</v>
      </c>
      <c r="H42" s="121">
        <f>(E42/E33)^0.5-1</f>
        <v>7.9863773459768028E-2</v>
      </c>
      <c r="I42" s="122">
        <f t="shared" si="4"/>
        <v>4.8808848170151631E-2</v>
      </c>
      <c r="J42" s="123">
        <f t="shared" si="4"/>
        <v>2.9609709475466151E-2</v>
      </c>
      <c r="K42" s="139">
        <v>2.4695076595959931E-2</v>
      </c>
      <c r="L42" s="140">
        <v>4.796190585625526E-3</v>
      </c>
      <c r="M42" s="122" cm="1">
        <f t="array" ref="M42">PRODUCT(1+K42:L42)-1</f>
        <v>2.9609709475466373E-2</v>
      </c>
      <c r="N42" s="123" t="b">
        <f t="shared" ref="N42:N44" si="5">(1+M42)=(1+J42)</f>
        <v>1</v>
      </c>
    </row>
    <row r="43" spans="1:14" x14ac:dyDescent="0.25">
      <c r="A43" s="287" t="s">
        <v>52</v>
      </c>
      <c r="B43" s="156" t="s">
        <v>107</v>
      </c>
      <c r="C43" s="105">
        <v>9020</v>
      </c>
      <c r="D43" s="106">
        <v>361.36526485248004</v>
      </c>
      <c r="E43" s="107">
        <f>D43*C43/12000</f>
        <v>271.62622408078084</v>
      </c>
      <c r="G43" s="287" t="s">
        <v>52</v>
      </c>
      <c r="H43" s="121">
        <f>(E43/E34)^0.5-1</f>
        <v>5.4986374319592857E-2</v>
      </c>
      <c r="I43" s="122">
        <f t="shared" si="4"/>
        <v>6.7187372905474829E-2</v>
      </c>
      <c r="J43" s="123">
        <f t="shared" si="4"/>
        <v>-1.1432855087728511E-2</v>
      </c>
      <c r="K43" s="139">
        <v>1.4248490262618096E-2</v>
      </c>
      <c r="L43" s="140">
        <v>-2.5320565519103666E-2</v>
      </c>
      <c r="M43" s="122" cm="1">
        <f t="array" ref="M43">PRODUCT(1+K43:L43)-1</f>
        <v>-1.1432855087728511E-2</v>
      </c>
      <c r="N43" s="123" t="b">
        <f t="shared" si="5"/>
        <v>1</v>
      </c>
    </row>
    <row r="44" spans="1:14" x14ac:dyDescent="0.25">
      <c r="A44" s="287" t="s">
        <v>108</v>
      </c>
      <c r="B44" s="156" t="s">
        <v>109</v>
      </c>
      <c r="C44" s="105">
        <v>18251</v>
      </c>
      <c r="D44" s="106">
        <v>184.85617499999998</v>
      </c>
      <c r="E44" s="107">
        <f>D44*C44/12000</f>
        <v>281.15083749374998</v>
      </c>
      <c r="G44" s="287" t="s">
        <v>108</v>
      </c>
      <c r="H44" s="121">
        <f>(E44/E35)^0.5-1</f>
        <v>0.17475010414273418</v>
      </c>
      <c r="I44" s="122">
        <f t="shared" si="4"/>
        <v>9.5460120593909181E-2</v>
      </c>
      <c r="J44" s="123">
        <f t="shared" si="4"/>
        <v>7.2380529476360644E-2</v>
      </c>
      <c r="K44" s="139">
        <v>2.4695076595959931E-2</v>
      </c>
      <c r="L44" s="140">
        <v>4.6536236944567211E-2</v>
      </c>
      <c r="M44" s="122" cm="1">
        <f t="array" ref="M44">PRODUCT(1+K44:L44)-1</f>
        <v>7.2380529476360866E-2</v>
      </c>
      <c r="N44" s="123" t="b">
        <f t="shared" si="5"/>
        <v>1</v>
      </c>
    </row>
    <row r="45" spans="1:14" ht="16.5" thickBot="1" x14ac:dyDescent="0.3">
      <c r="A45" s="288" t="s">
        <v>110</v>
      </c>
      <c r="B45" s="129"/>
      <c r="C45" s="108"/>
      <c r="D45" s="110"/>
      <c r="E45" s="110">
        <f>SUM(E41:E44)</f>
        <v>921.62590601203101</v>
      </c>
      <c r="G45" s="290" t="s">
        <v>110</v>
      </c>
      <c r="H45" s="124">
        <f>(E45/E36)^0.5-1</f>
        <v>9.9668810497327343E-2</v>
      </c>
      <c r="I45" s="125"/>
      <c r="J45" s="126"/>
      <c r="K45" s="127"/>
      <c r="L45" s="125"/>
      <c r="M45" s="128"/>
      <c r="N45" s="126"/>
    </row>
    <row r="46" spans="1:14" ht="16.5" thickTop="1" x14ac:dyDescent="0.25"/>
    <row r="47" spans="1:14" x14ac:dyDescent="0.25">
      <c r="I47" s="102"/>
      <c r="N47" s="130"/>
    </row>
    <row r="48" spans="1:14" s="132" customFormat="1" ht="21.75" thickBot="1" x14ac:dyDescent="0.4">
      <c r="A48" s="131" t="s">
        <v>61</v>
      </c>
      <c r="B48" s="131"/>
      <c r="C48" s="131"/>
    </row>
    <row r="49" spans="1:14" ht="16.5" thickTop="1" x14ac:dyDescent="0.25">
      <c r="A49" s="605"/>
      <c r="B49" s="605"/>
      <c r="C49" s="605"/>
      <c r="D49" s="605"/>
      <c r="E49" s="605"/>
      <c r="F49" s="605"/>
      <c r="G49" s="605"/>
      <c r="H49" s="605"/>
      <c r="I49" s="605"/>
      <c r="J49" s="605"/>
      <c r="K49" s="605"/>
      <c r="L49" s="605"/>
      <c r="M49" s="605"/>
      <c r="N49" s="605"/>
    </row>
    <row r="50" spans="1:14" x14ac:dyDescent="0.25">
      <c r="A50" s="605"/>
      <c r="B50" s="605"/>
      <c r="C50" s="605"/>
      <c r="D50" s="605"/>
      <c r="E50" s="605"/>
      <c r="F50" s="605"/>
      <c r="G50" s="605"/>
      <c r="H50" s="605"/>
      <c r="I50" s="605"/>
      <c r="J50" s="605"/>
      <c r="K50" s="605"/>
      <c r="L50" s="605"/>
      <c r="M50" s="605"/>
      <c r="N50" s="605"/>
    </row>
    <row r="51" spans="1:14" x14ac:dyDescent="0.25">
      <c r="A51" s="605"/>
      <c r="B51" s="605"/>
      <c r="C51" s="605"/>
      <c r="D51" s="605"/>
      <c r="E51" s="605"/>
      <c r="F51" s="605"/>
      <c r="G51" s="605"/>
      <c r="H51" s="605"/>
      <c r="I51" s="605"/>
      <c r="J51" s="605"/>
      <c r="K51" s="605"/>
      <c r="L51" s="605"/>
      <c r="M51" s="605"/>
      <c r="N51" s="605"/>
    </row>
    <row r="52" spans="1:14" x14ac:dyDescent="0.25">
      <c r="A52" s="605"/>
      <c r="B52" s="605"/>
      <c r="C52" s="605"/>
      <c r="D52" s="605"/>
      <c r="E52" s="605"/>
      <c r="F52" s="605"/>
      <c r="G52" s="605"/>
      <c r="H52" s="605"/>
      <c r="I52" s="605"/>
      <c r="J52" s="605"/>
      <c r="K52" s="605"/>
      <c r="L52" s="605"/>
      <c r="M52" s="605"/>
      <c r="N52" s="605"/>
    </row>
    <row r="53" spans="1:14" x14ac:dyDescent="0.25">
      <c r="A53" s="605"/>
      <c r="B53" s="605"/>
      <c r="C53" s="605"/>
      <c r="D53" s="605"/>
      <c r="E53" s="605"/>
      <c r="F53" s="605"/>
      <c r="G53" s="605"/>
      <c r="H53" s="605"/>
      <c r="I53" s="605"/>
      <c r="J53" s="605"/>
      <c r="K53" s="605"/>
      <c r="L53" s="605"/>
      <c r="M53" s="605"/>
      <c r="N53" s="605"/>
    </row>
    <row r="54" spans="1:14" x14ac:dyDescent="0.25">
      <c r="A54" s="605"/>
      <c r="B54" s="605"/>
      <c r="C54" s="605"/>
      <c r="D54" s="605"/>
      <c r="E54" s="605"/>
      <c r="F54" s="605"/>
      <c r="G54" s="605"/>
      <c r="H54" s="605"/>
      <c r="I54" s="605"/>
      <c r="J54" s="605"/>
      <c r="K54" s="605"/>
      <c r="L54" s="605"/>
      <c r="M54" s="605"/>
      <c r="N54" s="605"/>
    </row>
    <row r="55" spans="1:14" x14ac:dyDescent="0.25">
      <c r="A55" s="600"/>
      <c r="B55" s="600"/>
      <c r="C55" s="600"/>
      <c r="D55" s="600"/>
      <c r="E55" s="600"/>
      <c r="F55" s="600"/>
      <c r="G55" s="600"/>
      <c r="H55" s="600"/>
      <c r="I55" s="600"/>
      <c r="J55" s="600"/>
      <c r="K55" s="600"/>
      <c r="L55" s="600"/>
      <c r="M55" s="600"/>
      <c r="N55" s="600"/>
    </row>
    <row r="56" spans="1:14" x14ac:dyDescent="0.25">
      <c r="A56" s="600"/>
      <c r="B56" s="600"/>
      <c r="C56" s="600"/>
      <c r="D56" s="600"/>
      <c r="E56" s="600"/>
      <c r="F56" s="600"/>
      <c r="G56" s="600"/>
      <c r="H56" s="600"/>
      <c r="I56" s="600"/>
      <c r="J56" s="600"/>
      <c r="K56" s="600"/>
      <c r="L56" s="600"/>
      <c r="M56" s="600"/>
      <c r="N56" s="600"/>
    </row>
    <row r="57" spans="1:14" x14ac:dyDescent="0.25">
      <c r="A57" s="600"/>
      <c r="B57" s="600"/>
      <c r="C57" s="600"/>
      <c r="D57" s="600"/>
      <c r="E57" s="600"/>
      <c r="F57" s="600"/>
      <c r="G57" s="600"/>
      <c r="H57" s="600"/>
      <c r="I57" s="600"/>
      <c r="J57" s="600"/>
      <c r="K57" s="600"/>
      <c r="L57" s="600"/>
      <c r="M57" s="600"/>
      <c r="N57" s="600"/>
    </row>
    <row r="58" spans="1:14" x14ac:dyDescent="0.25">
      <c r="A58" s="600"/>
      <c r="B58" s="600"/>
      <c r="C58" s="600"/>
      <c r="D58" s="600"/>
      <c r="E58" s="600"/>
      <c r="F58" s="600"/>
      <c r="G58" s="600"/>
      <c r="H58" s="600"/>
      <c r="I58" s="600"/>
      <c r="J58" s="600"/>
      <c r="K58" s="600"/>
      <c r="L58" s="600"/>
      <c r="M58" s="600"/>
      <c r="N58" s="600"/>
    </row>
  </sheetData>
  <mergeCells count="10">
    <mergeCell ref="A50:N50"/>
    <mergeCell ref="A51:N51"/>
    <mergeCell ref="A52:N52"/>
    <mergeCell ref="A53:N53"/>
    <mergeCell ref="A54:N54"/>
    <mergeCell ref="C4:L4"/>
    <mergeCell ref="C5:L5"/>
    <mergeCell ref="C6:L6"/>
    <mergeCell ref="C7:L7"/>
    <mergeCell ref="A49:N49"/>
  </mergeCells>
  <conditionalFormatting sqref="N23:N26 N32:N35 N41:N44">
    <cfRule type="cellIs" dxfId="12" priority="1" operator="equal">
      <formula>FALSE</formula>
    </cfRule>
  </conditionalFormatting>
  <printOptions horizontalCentered="1"/>
  <pageMargins left="0.25" right="0.25" top="0.75" bottom="0.75" header="0.25" footer="0.25"/>
  <pageSetup scale="50" orientation="landscape" horizontalDpi="1200" verticalDpi="1200" r:id="rId1"/>
  <headerFooter>
    <oddFooter>&amp;L2026 IND &amp;&amp; SG ACA MEDICAL RATE FILINGS -- COMMON EXHIBITS&amp;R04/07/2025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801D6-3FA1-425B-83D8-D123915FB967}">
  <sheetPr codeName="Sheet4">
    <tabColor theme="0" tint="-0.499984740745262"/>
    <outlinePr summaryRight="0"/>
    <pageSetUpPr fitToPage="1"/>
  </sheetPr>
  <dimension ref="A1:O49"/>
  <sheetViews>
    <sheetView showGridLines="0" zoomScale="70" zoomScaleNormal="70" workbookViewId="0">
      <pane ySplit="3" topLeftCell="A4" activePane="bottomLeft" state="frozen"/>
      <selection pane="bottomLeft" activeCell="A4" sqref="A4"/>
    </sheetView>
  </sheetViews>
  <sheetFormatPr defaultRowHeight="15" x14ac:dyDescent="0.25"/>
  <cols>
    <col min="1" max="1" width="45.42578125" bestFit="1" customWidth="1"/>
    <col min="2" max="2" width="15.85546875" bestFit="1" customWidth="1"/>
    <col min="3" max="3" width="17.7109375" bestFit="1" customWidth="1"/>
    <col min="4" max="4" width="12" bestFit="1" customWidth="1"/>
    <col min="5" max="5" width="19.28515625" bestFit="1" customWidth="1"/>
    <col min="6" max="6" width="13.140625" bestFit="1" customWidth="1"/>
    <col min="7" max="7" width="3.140625" customWidth="1"/>
    <col min="8" max="8" width="36.28515625" bestFit="1" customWidth="1"/>
    <col min="9" max="9" width="13.140625" bestFit="1" customWidth="1"/>
    <col min="10" max="10" width="13" bestFit="1" customWidth="1"/>
    <col min="11" max="11" width="12" bestFit="1" customWidth="1"/>
    <col min="12" max="12" width="15.85546875" bestFit="1" customWidth="1"/>
    <col min="13" max="13" width="19.28515625" bestFit="1" customWidth="1"/>
    <col min="14" max="15" width="19.28515625" customWidth="1"/>
  </cols>
  <sheetData>
    <row r="1" spans="1:15" ht="26.25" customHeight="1" x14ac:dyDescent="0.4">
      <c r="A1" s="76" t="s">
        <v>120</v>
      </c>
    </row>
    <row r="2" spans="1:15" ht="21" x14ac:dyDescent="0.35">
      <c r="A2" s="284" t="s">
        <v>118</v>
      </c>
    </row>
    <row r="3" spans="1:15" ht="15.75" x14ac:dyDescent="0.25">
      <c r="A3" s="285" t="s">
        <v>119</v>
      </c>
      <c r="B3" s="227"/>
      <c r="C3" s="227"/>
    </row>
    <row r="6" spans="1:15" ht="21.75" thickBot="1" x14ac:dyDescent="0.4">
      <c r="A6" s="131" t="s">
        <v>121</v>
      </c>
      <c r="B6" s="4"/>
      <c r="C6" s="4"/>
      <c r="D6" s="4"/>
      <c r="E6" s="4"/>
      <c r="F6" s="4"/>
    </row>
    <row r="7" spans="1:15" ht="15.75" thickTop="1" x14ac:dyDescent="0.25">
      <c r="A7" t="s">
        <v>122</v>
      </c>
    </row>
    <row r="8" spans="1:15" x14ac:dyDescent="0.25">
      <c r="A8" t="s">
        <v>123</v>
      </c>
    </row>
    <row r="10" spans="1:15" ht="21.75" thickBot="1" x14ac:dyDescent="0.4">
      <c r="A10" s="169" t="s">
        <v>124</v>
      </c>
      <c r="B10" s="5"/>
      <c r="C10" s="5"/>
      <c r="D10" s="5"/>
      <c r="E10" s="5"/>
      <c r="F10" s="5"/>
      <c r="H10" s="169" t="s">
        <v>125</v>
      </c>
      <c r="I10" s="5"/>
      <c r="J10" s="5"/>
      <c r="K10" s="5"/>
      <c r="L10" s="5"/>
      <c r="M10" s="5"/>
      <c r="N10" s="5"/>
      <c r="O10" s="5"/>
    </row>
    <row r="11" spans="1:15" ht="21.75" thickTop="1" x14ac:dyDescent="0.35">
      <c r="A11" s="78" t="s">
        <v>126</v>
      </c>
    </row>
    <row r="12" spans="1:15" x14ac:dyDescent="0.25">
      <c r="A12" s="67" t="s">
        <v>127</v>
      </c>
    </row>
    <row r="13" spans="1:15" ht="30" x14ac:dyDescent="0.25">
      <c r="A13" s="307" t="s">
        <v>128</v>
      </c>
      <c r="B13" s="308" t="s">
        <v>129</v>
      </c>
      <c r="C13" s="308" t="s">
        <v>130</v>
      </c>
      <c r="D13" s="309" t="s">
        <v>104</v>
      </c>
      <c r="E13" s="308" t="s">
        <v>131</v>
      </c>
      <c r="F13" s="308" t="s">
        <v>132</v>
      </c>
    </row>
    <row r="14" spans="1:15" x14ac:dyDescent="0.25">
      <c r="A14" s="291" t="s">
        <v>133</v>
      </c>
      <c r="B14" s="143">
        <v>26</v>
      </c>
      <c r="C14" s="64">
        <f>B14/B16</f>
        <v>0.78787878787878785</v>
      </c>
      <c r="D14" s="147">
        <f>E14</f>
        <v>50</v>
      </c>
      <c r="E14" s="145">
        <v>50</v>
      </c>
      <c r="F14" s="17">
        <f>D14*B14</f>
        <v>1300</v>
      </c>
    </row>
    <row r="15" spans="1:15" x14ac:dyDescent="0.25">
      <c r="A15" s="292" t="s">
        <v>134</v>
      </c>
      <c r="B15" s="144">
        <v>7</v>
      </c>
      <c r="C15" s="66">
        <f>1-C14</f>
        <v>0.21212121212121215</v>
      </c>
      <c r="D15" s="148">
        <f>E15</f>
        <v>61.79</v>
      </c>
      <c r="E15" s="146">
        <v>61.79</v>
      </c>
      <c r="F15" s="72">
        <f>D15*B15</f>
        <v>432.53</v>
      </c>
    </row>
    <row r="16" spans="1:15" x14ac:dyDescent="0.25">
      <c r="A16" s="293" t="s">
        <v>110</v>
      </c>
      <c r="B16" s="46">
        <f>SUM(B14:B15)</f>
        <v>33</v>
      </c>
      <c r="C16" s="65">
        <f>SUM(C14:C15)</f>
        <v>1</v>
      </c>
      <c r="D16" s="45">
        <f>SUMPRODUCT(D14:D15,C14:C15)</f>
        <v>52.50090909090909</v>
      </c>
      <c r="E16" s="45">
        <f>SUMPRODUCT(E14:E15,C14:C15)</f>
        <v>52.50090909090909</v>
      </c>
      <c r="F16" s="73">
        <f>SUM(F14:F15)</f>
        <v>1732.53</v>
      </c>
    </row>
    <row r="17" spans="1:15" ht="15" customHeight="1" x14ac:dyDescent="0.25">
      <c r="D17" s="6"/>
      <c r="E17" s="617" t="s">
        <v>135</v>
      </c>
    </row>
    <row r="18" spans="1:15" x14ac:dyDescent="0.25">
      <c r="E18" s="618"/>
    </row>
    <row r="20" spans="1:15" ht="21.75" thickBot="1" x14ac:dyDescent="0.4">
      <c r="A20" s="78" t="s">
        <v>136</v>
      </c>
      <c r="H20" s="78" t="str">
        <f>"EXPERIENCE TREND -- "&amp;RIGHT(A11,8)&amp;" to "&amp;RIGHT(A20,8)</f>
        <v>EXPERIENCE TREND -- PERIOD 1 to PERIOD 2</v>
      </c>
    </row>
    <row r="21" spans="1:15" x14ac:dyDescent="0.25">
      <c r="A21" s="67" t="s">
        <v>127</v>
      </c>
      <c r="H21" s="67" t="s">
        <v>127</v>
      </c>
      <c r="I21" s="61"/>
      <c r="J21" s="62"/>
      <c r="K21" s="63"/>
      <c r="L21" s="68" t="s">
        <v>111</v>
      </c>
      <c r="M21" s="69"/>
      <c r="N21" s="70"/>
      <c r="O21" s="71"/>
    </row>
    <row r="22" spans="1:15" ht="30" x14ac:dyDescent="0.25">
      <c r="A22" s="307" t="s">
        <v>128</v>
      </c>
      <c r="B22" s="308" t="s">
        <v>129</v>
      </c>
      <c r="C22" s="308" t="s">
        <v>130</v>
      </c>
      <c r="D22" s="309" t="s">
        <v>104</v>
      </c>
      <c r="E22" s="308" t="s">
        <v>131</v>
      </c>
      <c r="F22" s="308" t="s">
        <v>132</v>
      </c>
      <c r="G22" s="310"/>
      <c r="H22" s="311" t="s">
        <v>128</v>
      </c>
      <c r="I22" s="312" t="s">
        <v>132</v>
      </c>
      <c r="J22" s="308" t="s">
        <v>114</v>
      </c>
      <c r="K22" s="313" t="s">
        <v>104</v>
      </c>
      <c r="L22" s="312" t="s">
        <v>115</v>
      </c>
      <c r="M22" s="309" t="s">
        <v>116</v>
      </c>
      <c r="N22" s="309" t="s">
        <v>104</v>
      </c>
      <c r="O22" s="314" t="s">
        <v>117</v>
      </c>
    </row>
    <row r="23" spans="1:15" x14ac:dyDescent="0.25">
      <c r="A23" s="291" t="s">
        <v>133</v>
      </c>
      <c r="B23" s="143">
        <v>26</v>
      </c>
      <c r="C23" s="64">
        <f>B23/B25</f>
        <v>0.72222222222222221</v>
      </c>
      <c r="D23" s="147">
        <f>E23</f>
        <v>55</v>
      </c>
      <c r="E23" s="145">
        <v>55</v>
      </c>
      <c r="F23" s="17">
        <f>D23*B23</f>
        <v>1430</v>
      </c>
      <c r="H23" s="296" t="s">
        <v>133</v>
      </c>
      <c r="I23" s="157">
        <f>F23/F14-1</f>
        <v>0.10000000000000009</v>
      </c>
      <c r="J23" s="2">
        <f>B23/B14-1</f>
        <v>0</v>
      </c>
      <c r="K23" s="158">
        <f t="shared" ref="K23:K24" si="0">D23/D14-1</f>
        <v>0.10000000000000009</v>
      </c>
      <c r="L23" s="167"/>
      <c r="M23" s="3">
        <f>E23/E14-1</f>
        <v>0.10000000000000009</v>
      </c>
      <c r="N23" s="14"/>
      <c r="O23" s="164"/>
    </row>
    <row r="24" spans="1:15" x14ac:dyDescent="0.25">
      <c r="A24" s="292" t="s">
        <v>134</v>
      </c>
      <c r="B24" s="144">
        <v>10</v>
      </c>
      <c r="C24" s="66">
        <f>1-C23</f>
        <v>0.27777777777777779</v>
      </c>
      <c r="D24" s="148">
        <f>E24</f>
        <v>65</v>
      </c>
      <c r="E24" s="146">
        <v>65</v>
      </c>
      <c r="F24" s="72">
        <f>D24*B24</f>
        <v>650</v>
      </c>
      <c r="H24" s="296" t="s">
        <v>134</v>
      </c>
      <c r="I24" s="157">
        <f>F24/F15-1</f>
        <v>0.50278593392365867</v>
      </c>
      <c r="J24" s="2">
        <f>B24/B15-1</f>
        <v>0.4285714285714286</v>
      </c>
      <c r="K24" s="158">
        <f t="shared" si="0"/>
        <v>5.1950153746560979E-2</v>
      </c>
      <c r="L24" s="168"/>
      <c r="M24" s="3">
        <f>E24/E15-1</f>
        <v>5.1950153746560979E-2</v>
      </c>
      <c r="N24" s="14"/>
      <c r="O24" s="164"/>
    </row>
    <row r="25" spans="1:15" x14ac:dyDescent="0.25">
      <c r="A25" s="294" t="s">
        <v>137</v>
      </c>
      <c r="B25">
        <f>SUM(B23:B24)</f>
        <v>36</v>
      </c>
      <c r="C25" s="150">
        <f>SUM(C23:C24)</f>
        <v>1</v>
      </c>
      <c r="D25" s="15">
        <f>SUMPRODUCT(D23:D24,C23:C24)</f>
        <v>57.777777777777779</v>
      </c>
      <c r="E25" s="15">
        <f>SUMPRODUCT(E23:E24,C23:C24)</f>
        <v>57.777777777777779</v>
      </c>
      <c r="F25" s="18">
        <f>SUM(F23:F24)</f>
        <v>2080</v>
      </c>
      <c r="H25" s="296" t="s">
        <v>110</v>
      </c>
      <c r="I25" s="159">
        <f>F25/F16-1</f>
        <v>0.20055641172158634</v>
      </c>
      <c r="J25" s="155">
        <f>B25/B16-1</f>
        <v>9.0909090909090828E-2</v>
      </c>
      <c r="K25" s="160">
        <f>D25/D16-1</f>
        <v>0.10051004407812081</v>
      </c>
      <c r="L25" s="165">
        <f>(1+K25)/(1+M25)-1</f>
        <v>1.1494252873563315E-2</v>
      </c>
      <c r="M25" s="155">
        <f>E26/E16-1</f>
        <v>8.8004248122687478E-2</v>
      </c>
      <c r="N25" s="75" cm="1">
        <f t="array" ref="N25">PRODUCT(1+L25:M25)-1</f>
        <v>0.10051004407812081</v>
      </c>
      <c r="O25" s="74" t="b">
        <f>(1+N25)=(1+K25)</f>
        <v>1</v>
      </c>
    </row>
    <row r="26" spans="1:15" ht="15.75" thickBot="1" x14ac:dyDescent="0.3">
      <c r="A26" s="295" t="s">
        <v>138</v>
      </c>
      <c r="B26" s="151"/>
      <c r="C26" s="152"/>
      <c r="D26" s="153"/>
      <c r="E26" s="153">
        <f>SUMPRODUCT(E23:E24,C14:C15)</f>
        <v>57.121212121212118</v>
      </c>
      <c r="F26" s="154"/>
      <c r="H26" s="149"/>
      <c r="I26" s="161"/>
      <c r="J26" s="162"/>
      <c r="K26" s="163"/>
      <c r="L26" s="161"/>
      <c r="M26" s="162"/>
      <c r="N26" s="162"/>
      <c r="O26" s="166"/>
    </row>
    <row r="27" spans="1:15" ht="15" customHeight="1" x14ac:dyDescent="0.25">
      <c r="E27" s="617" t="s">
        <v>135</v>
      </c>
      <c r="M27" s="615" t="s">
        <v>139</v>
      </c>
      <c r="N27" s="615" t="s">
        <v>140</v>
      </c>
    </row>
    <row r="28" spans="1:15" x14ac:dyDescent="0.25">
      <c r="E28" s="618"/>
      <c r="M28" s="616"/>
      <c r="N28" s="616"/>
    </row>
    <row r="29" spans="1:15" x14ac:dyDescent="0.25">
      <c r="M29" s="616"/>
      <c r="N29" s="616"/>
    </row>
    <row r="30" spans="1:15" ht="21.75" thickBot="1" x14ac:dyDescent="0.4">
      <c r="A30" s="78" t="s">
        <v>141</v>
      </c>
      <c r="H30" s="78" t="str">
        <f>"EXPERIENCE TREND -- "&amp;RIGHT(A20,8)&amp;" to "&amp;RIGHT(A30,8)</f>
        <v>EXPERIENCE TREND -- PERIOD 2 to PERIOD 3</v>
      </c>
    </row>
    <row r="31" spans="1:15" x14ac:dyDescent="0.25">
      <c r="A31" s="67" t="s">
        <v>127</v>
      </c>
      <c r="H31" s="67" t="s">
        <v>127</v>
      </c>
      <c r="I31" s="61"/>
      <c r="J31" s="62"/>
      <c r="K31" s="63"/>
      <c r="L31" s="68" t="s">
        <v>111</v>
      </c>
      <c r="M31" s="69"/>
      <c r="N31" s="70"/>
      <c r="O31" s="71"/>
    </row>
    <row r="32" spans="1:15" ht="30" x14ac:dyDescent="0.25">
      <c r="A32" s="307" t="s">
        <v>128</v>
      </c>
      <c r="B32" s="308" t="s">
        <v>129</v>
      </c>
      <c r="C32" s="308" t="s">
        <v>130</v>
      </c>
      <c r="D32" s="309" t="s">
        <v>104</v>
      </c>
      <c r="E32" s="308" t="s">
        <v>131</v>
      </c>
      <c r="F32" s="308" t="s">
        <v>132</v>
      </c>
      <c r="G32" s="310"/>
      <c r="H32" s="307" t="s">
        <v>128</v>
      </c>
      <c r="I32" s="312" t="s">
        <v>132</v>
      </c>
      <c r="J32" s="308" t="s">
        <v>142</v>
      </c>
      <c r="K32" s="313" t="s">
        <v>104</v>
      </c>
      <c r="L32" s="312" t="s">
        <v>115</v>
      </c>
      <c r="M32" s="309" t="s">
        <v>116</v>
      </c>
      <c r="N32" s="309" t="s">
        <v>104</v>
      </c>
      <c r="O32" s="314" t="s">
        <v>117</v>
      </c>
    </row>
    <row r="33" spans="1:15" x14ac:dyDescent="0.25">
      <c r="A33" s="291" t="s">
        <v>133</v>
      </c>
      <c r="B33" s="143">
        <v>25</v>
      </c>
      <c r="C33" s="64">
        <f>B33/B35</f>
        <v>0.6097560975609756</v>
      </c>
      <c r="D33" s="147">
        <f>E33</f>
        <v>56</v>
      </c>
      <c r="E33" s="145">
        <v>56</v>
      </c>
      <c r="F33" s="17">
        <f>D33*B33</f>
        <v>1400</v>
      </c>
      <c r="H33" s="601" t="s">
        <v>133</v>
      </c>
      <c r="I33" s="157">
        <f>F33/F23-1</f>
        <v>-2.0979020979020935E-2</v>
      </c>
      <c r="J33" s="2">
        <f>B33/B23-1</f>
        <v>-3.8461538461538436E-2</v>
      </c>
      <c r="K33" s="158">
        <f>D33/D23-1</f>
        <v>1.8181818181818077E-2</v>
      </c>
      <c r="L33" s="167"/>
      <c r="M33" s="3">
        <f>E33/E23-1</f>
        <v>1.8181818181818077E-2</v>
      </c>
      <c r="N33" s="14"/>
      <c r="O33" s="164"/>
    </row>
    <row r="34" spans="1:15" x14ac:dyDescent="0.25">
      <c r="A34" s="292" t="s">
        <v>134</v>
      </c>
      <c r="B34" s="144">
        <v>16</v>
      </c>
      <c r="C34" s="66">
        <f>1-C33</f>
        <v>0.3902439024390244</v>
      </c>
      <c r="D34" s="148">
        <f>E34</f>
        <v>66</v>
      </c>
      <c r="E34" s="146">
        <v>66</v>
      </c>
      <c r="F34" s="72">
        <f>D34*B34</f>
        <v>1056</v>
      </c>
      <c r="H34" s="601" t="s">
        <v>134</v>
      </c>
      <c r="I34" s="157">
        <f>F34/F24-1</f>
        <v>0.62461538461538457</v>
      </c>
      <c r="J34" s="2">
        <f>B34/B24-1</f>
        <v>0.60000000000000009</v>
      </c>
      <c r="K34" s="158">
        <f>D34/D24-1</f>
        <v>1.538461538461533E-2</v>
      </c>
      <c r="L34" s="168"/>
      <c r="M34" s="3">
        <f>E34/E24-1</f>
        <v>1.538461538461533E-2</v>
      </c>
      <c r="N34" s="14"/>
      <c r="O34" s="164"/>
    </row>
    <row r="35" spans="1:15" x14ac:dyDescent="0.25">
      <c r="A35" s="294" t="s">
        <v>137</v>
      </c>
      <c r="B35">
        <f>SUM(B33:B34)</f>
        <v>41</v>
      </c>
      <c r="C35" s="150">
        <f>SUM(C33:C34)</f>
        <v>1</v>
      </c>
      <c r="D35" s="15">
        <f>SUMPRODUCT(D33:D34,C33:C34)</f>
        <v>59.902439024390247</v>
      </c>
      <c r="E35" s="15">
        <f>SUMPRODUCT(E33:E34,C33:C34)</f>
        <v>59.902439024390247</v>
      </c>
      <c r="F35" s="18">
        <f>SUM(F33:F34)</f>
        <v>2456</v>
      </c>
      <c r="H35" s="601" t="s">
        <v>110</v>
      </c>
      <c r="I35" s="159">
        <f>F35/F25-1</f>
        <v>0.18076923076923079</v>
      </c>
      <c r="J35" s="155">
        <f>B35/B25-1</f>
        <v>0.13888888888888884</v>
      </c>
      <c r="K35" s="160">
        <f>D35/D25-1</f>
        <v>3.6772983114446545E-2</v>
      </c>
      <c r="L35" s="165">
        <f>(1+K35)/(1+M35)-1</f>
        <v>1.9134123288302884E-2</v>
      </c>
      <c r="M35" s="155">
        <f>E36/E25-1</f>
        <v>1.7307692307692246E-2</v>
      </c>
      <c r="N35" s="75" cm="1">
        <f t="array" ref="N35">PRODUCT(1+L35:M35)-1</f>
        <v>3.6772983114446545E-2</v>
      </c>
      <c r="O35" s="74" t="b">
        <f>(1+N35)=(1+K35)</f>
        <v>1</v>
      </c>
    </row>
    <row r="36" spans="1:15" ht="15.75" thickBot="1" x14ac:dyDescent="0.3">
      <c r="A36" s="295" t="s">
        <v>138</v>
      </c>
      <c r="B36" s="151"/>
      <c r="C36" s="152"/>
      <c r="D36" s="153"/>
      <c r="E36" s="153">
        <f>SUMPRODUCT(E33:E34,C23:C24)</f>
        <v>58.777777777777779</v>
      </c>
      <c r="F36" s="154"/>
      <c r="H36" s="149"/>
      <c r="I36" s="161"/>
      <c r="J36" s="162"/>
      <c r="K36" s="163"/>
      <c r="L36" s="161"/>
      <c r="M36" s="162"/>
      <c r="N36" s="162"/>
      <c r="O36" s="166"/>
    </row>
    <row r="37" spans="1:15" ht="15" customHeight="1" x14ac:dyDescent="0.25">
      <c r="E37" s="617" t="s">
        <v>135</v>
      </c>
      <c r="M37" s="616" t="s">
        <v>139</v>
      </c>
      <c r="N37" s="615" t="s">
        <v>140</v>
      </c>
    </row>
    <row r="38" spans="1:15" x14ac:dyDescent="0.25">
      <c r="E38" s="618"/>
      <c r="M38" s="616"/>
      <c r="N38" s="616"/>
    </row>
    <row r="39" spans="1:15" x14ac:dyDescent="0.25">
      <c r="M39" s="616"/>
      <c r="N39" s="616"/>
    </row>
    <row r="40" spans="1:15" ht="21.75" thickBot="1" x14ac:dyDescent="0.4">
      <c r="A40" s="78" t="s">
        <v>143</v>
      </c>
      <c r="H40" s="78" t="str">
        <f>"ANNUALIZED PROJECTED TREND -- "&amp;RIGHT(A30,8)&amp;" to "&amp;RIGHT(A40,9)</f>
        <v>ANNUALIZED PROJECTED TREND -- PERIOD 3 to PLAN YEAR</v>
      </c>
    </row>
    <row r="41" spans="1:15" x14ac:dyDescent="0.25">
      <c r="A41" s="67" t="s">
        <v>127</v>
      </c>
      <c r="H41" s="67" t="s">
        <v>127</v>
      </c>
      <c r="I41" s="61"/>
      <c r="J41" s="62"/>
      <c r="K41" s="63"/>
      <c r="L41" s="68" t="s">
        <v>111</v>
      </c>
      <c r="M41" s="69"/>
      <c r="N41" s="70"/>
      <c r="O41" s="71"/>
    </row>
    <row r="42" spans="1:15" ht="30" x14ac:dyDescent="0.25">
      <c r="A42" s="307" t="s">
        <v>128</v>
      </c>
      <c r="B42" s="308" t="s">
        <v>129</v>
      </c>
      <c r="C42" s="308" t="s">
        <v>130</v>
      </c>
      <c r="D42" s="309" t="s">
        <v>104</v>
      </c>
      <c r="E42" s="308" t="s">
        <v>131</v>
      </c>
      <c r="F42" s="308" t="s">
        <v>132</v>
      </c>
      <c r="G42" s="310"/>
      <c r="H42" s="307" t="s">
        <v>128</v>
      </c>
      <c r="I42" s="312" t="s">
        <v>132</v>
      </c>
      <c r="J42" s="308" t="s">
        <v>142</v>
      </c>
      <c r="K42" s="313" t="s">
        <v>104</v>
      </c>
      <c r="L42" s="312" t="s">
        <v>115</v>
      </c>
      <c r="M42" s="309" t="s">
        <v>116</v>
      </c>
      <c r="N42" s="309" t="s">
        <v>104</v>
      </c>
      <c r="O42" s="314" t="s">
        <v>117</v>
      </c>
    </row>
    <row r="43" spans="1:15" x14ac:dyDescent="0.25">
      <c r="A43" s="291" t="s">
        <v>133</v>
      </c>
      <c r="B43" s="143">
        <v>26</v>
      </c>
      <c r="C43" s="64">
        <f>B43/B45</f>
        <v>0.56521739130434778</v>
      </c>
      <c r="D43" s="147">
        <f>E43</f>
        <v>60</v>
      </c>
      <c r="E43" s="145">
        <v>60</v>
      </c>
      <c r="F43" s="17">
        <f>D43*B43</f>
        <v>1560</v>
      </c>
      <c r="H43" s="601" t="s">
        <v>133</v>
      </c>
      <c r="I43" s="157">
        <f>F43/F33-1</f>
        <v>0.11428571428571432</v>
      </c>
      <c r="J43" s="2">
        <f>B43/B33-1</f>
        <v>4.0000000000000036E-2</v>
      </c>
      <c r="K43" s="158">
        <f>D43/D33-1</f>
        <v>7.1428571428571397E-2</v>
      </c>
      <c r="L43" s="167"/>
      <c r="M43" s="3">
        <f>E43/E33-1</f>
        <v>7.1428571428571397E-2</v>
      </c>
      <c r="N43" s="14"/>
      <c r="O43" s="164"/>
    </row>
    <row r="44" spans="1:15" x14ac:dyDescent="0.25">
      <c r="A44" s="292" t="s">
        <v>134</v>
      </c>
      <c r="B44" s="144">
        <v>20</v>
      </c>
      <c r="C44" s="66">
        <f>1-C43</f>
        <v>0.43478260869565222</v>
      </c>
      <c r="D44" s="148">
        <f>E44</f>
        <v>70</v>
      </c>
      <c r="E44" s="146">
        <v>70</v>
      </c>
      <c r="F44" s="72">
        <f>D44*B44</f>
        <v>1400</v>
      </c>
      <c r="H44" s="601" t="s">
        <v>134</v>
      </c>
      <c r="I44" s="157">
        <f>F44/F34-1</f>
        <v>0.32575757575757569</v>
      </c>
      <c r="J44" s="2">
        <f>B44/B34-1</f>
        <v>0.25</v>
      </c>
      <c r="K44" s="158">
        <f>D44/D34-1</f>
        <v>6.0606060606060552E-2</v>
      </c>
      <c r="L44" s="168"/>
      <c r="M44" s="3">
        <f>E44/E34-1</f>
        <v>6.0606060606060552E-2</v>
      </c>
      <c r="N44" s="14"/>
      <c r="O44" s="164"/>
    </row>
    <row r="45" spans="1:15" x14ac:dyDescent="0.25">
      <c r="A45" s="294" t="s">
        <v>137</v>
      </c>
      <c r="B45">
        <f>SUM(B43:B44)</f>
        <v>46</v>
      </c>
      <c r="C45" s="150">
        <f>SUM(C43:C44)</f>
        <v>1</v>
      </c>
      <c r="D45" s="15">
        <f>SUMPRODUCT(D43:D44,C43:C44)</f>
        <v>64.34782608695653</v>
      </c>
      <c r="E45" s="15">
        <f>SUMPRODUCT(E43:E44,C43:C44)</f>
        <v>64.34782608695653</v>
      </c>
      <c r="F45" s="18">
        <f>SUM(F43:F44)</f>
        <v>2960</v>
      </c>
      <c r="H45" s="601" t="s">
        <v>110</v>
      </c>
      <c r="I45" s="159">
        <f>F45/F35-1</f>
        <v>0.20521172638436491</v>
      </c>
      <c r="J45" s="155">
        <f>B45/B35-1</f>
        <v>0.12195121951219523</v>
      </c>
      <c r="K45" s="160">
        <f>D45/D35-1</f>
        <v>7.4210451777368736E-2</v>
      </c>
      <c r="L45" s="165">
        <f>(1+K45)/(1+M45)-1</f>
        <v>6.9697975439761972E-3</v>
      </c>
      <c r="M45" s="155">
        <f>E46/E35-1</f>
        <v>6.6775244299674297E-2</v>
      </c>
      <c r="N45" s="75" cm="1">
        <f t="array" ref="N45">PRODUCT(1+L45:M45)-1</f>
        <v>7.4210451777368736E-2</v>
      </c>
      <c r="O45" s="74" t="b">
        <f>(1+N45)=(1+K45)</f>
        <v>1</v>
      </c>
    </row>
    <row r="46" spans="1:15" ht="15.75" thickBot="1" x14ac:dyDescent="0.3">
      <c r="A46" s="295" t="s">
        <v>138</v>
      </c>
      <c r="B46" s="151"/>
      <c r="C46" s="152"/>
      <c r="D46" s="153"/>
      <c r="E46" s="153">
        <f>SUMPRODUCT(E43:E44,C33:C34)</f>
        <v>63.902439024390247</v>
      </c>
      <c r="F46" s="154"/>
      <c r="H46" s="149"/>
      <c r="I46" s="161"/>
      <c r="J46" s="162"/>
      <c r="K46" s="163"/>
      <c r="L46" s="161"/>
      <c r="M46" s="162"/>
      <c r="N46" s="162"/>
      <c r="O46" s="166"/>
    </row>
    <row r="47" spans="1:15" x14ac:dyDescent="0.25">
      <c r="E47" s="617" t="s">
        <v>144</v>
      </c>
      <c r="M47" s="616" t="s">
        <v>139</v>
      </c>
      <c r="N47" s="615" t="s">
        <v>140</v>
      </c>
    </row>
    <row r="48" spans="1:15" x14ac:dyDescent="0.25">
      <c r="E48" s="617"/>
      <c r="M48" s="616"/>
      <c r="N48" s="616"/>
    </row>
    <row r="49" spans="5:14" x14ac:dyDescent="0.25">
      <c r="E49" s="618"/>
      <c r="M49" s="616"/>
      <c r="N49" s="616"/>
    </row>
  </sheetData>
  <mergeCells count="10">
    <mergeCell ref="E17:E18"/>
    <mergeCell ref="E37:E38"/>
    <mergeCell ref="E27:E28"/>
    <mergeCell ref="E47:E49"/>
    <mergeCell ref="M47:M49"/>
    <mergeCell ref="N47:N49"/>
    <mergeCell ref="N27:N29"/>
    <mergeCell ref="N37:N39"/>
    <mergeCell ref="M27:M29"/>
    <mergeCell ref="M37:M39"/>
  </mergeCells>
  <conditionalFormatting sqref="O25">
    <cfRule type="cellIs" dxfId="11" priority="5" operator="equal">
      <formula>FALSE</formula>
    </cfRule>
  </conditionalFormatting>
  <conditionalFormatting sqref="O35">
    <cfRule type="cellIs" dxfId="10" priority="2" operator="equal">
      <formula>FALSE</formula>
    </cfRule>
  </conditionalFormatting>
  <conditionalFormatting sqref="O45">
    <cfRule type="cellIs" dxfId="9" priority="1" operator="equal">
      <formula>FALSE</formula>
    </cfRule>
  </conditionalFormatting>
  <printOptions horizontalCentered="1"/>
  <pageMargins left="0.25" right="0.25" top="0.75" bottom="0.75" header="0.25" footer="0.25"/>
  <pageSetup scale="48" orientation="landscape" horizontalDpi="1200" verticalDpi="1200" r:id="rId1"/>
  <headerFooter>
    <oddFooter>&amp;L2026 IND &amp;&amp; SG ACA MEDICAL RATE FILINGS -- COMMON EXHIBITS&amp;R04/07/2025</oddFooter>
  </headerFooter>
  <ignoredErrors>
    <ignoredError sqref="C1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82869-2F65-4438-8777-3F8487513F2D}">
  <sheetPr>
    <tabColor theme="9" tint="-0.499984740745262"/>
    <pageSetUpPr fitToPage="1"/>
  </sheetPr>
  <dimension ref="A1:W68"/>
  <sheetViews>
    <sheetView showGridLines="0" zoomScale="70" zoomScaleNormal="70" workbookViewId="0">
      <pane xSplit="1" ySplit="6" topLeftCell="B7" activePane="bottomRight" state="frozen"/>
      <selection pane="topRight"/>
      <selection pane="bottomLeft"/>
      <selection pane="bottomRight" activeCell="B7" sqref="B7"/>
    </sheetView>
  </sheetViews>
  <sheetFormatPr defaultColWidth="18.7109375" defaultRowHeight="15" x14ac:dyDescent="0.25"/>
  <cols>
    <col min="1" max="1" width="19.7109375" customWidth="1"/>
    <col min="2" max="2" width="20.42578125" customWidth="1"/>
    <col min="3" max="3" width="21.5703125" customWidth="1"/>
    <col min="4" max="4" width="21.28515625" customWidth="1"/>
    <col min="5" max="5" width="19.5703125" customWidth="1"/>
    <col min="9" max="9" width="22" customWidth="1"/>
    <col min="10" max="10" width="19.85546875" customWidth="1"/>
    <col min="12" max="12" width="20.5703125" customWidth="1"/>
    <col min="16" max="16" width="18.7109375" customWidth="1"/>
    <col min="17" max="17" width="20.140625" customWidth="1"/>
    <col min="18" max="18" width="21.85546875" customWidth="1"/>
    <col min="20" max="20" width="21.28515625" customWidth="1"/>
    <col min="21" max="21" width="3.7109375" customWidth="1"/>
    <col min="22" max="22" width="100.28515625" customWidth="1"/>
    <col min="23" max="23" width="3.7109375" customWidth="1"/>
  </cols>
  <sheetData>
    <row r="1" spans="1:23" ht="26.25" x14ac:dyDescent="0.4">
      <c r="A1" s="270" t="s">
        <v>145</v>
      </c>
    </row>
    <row r="2" spans="1:23" ht="23.25" x14ac:dyDescent="0.35">
      <c r="A2" s="137"/>
    </row>
    <row r="3" spans="1:23" ht="21" x14ac:dyDescent="0.35">
      <c r="A3" s="269" t="s">
        <v>38</v>
      </c>
      <c r="B3" s="98"/>
      <c r="C3" s="619" t="str">
        <f>CarrierName</f>
        <v>ABC Company</v>
      </c>
      <c r="D3" s="620"/>
      <c r="E3" s="620"/>
      <c r="F3" s="620"/>
      <c r="G3" s="620"/>
      <c r="H3" s="620"/>
      <c r="I3" s="620"/>
      <c r="J3" s="620"/>
      <c r="K3" s="620"/>
      <c r="L3" s="620"/>
    </row>
    <row r="4" spans="1:23" ht="21" x14ac:dyDescent="0.35">
      <c r="A4" s="269" t="s">
        <v>0</v>
      </c>
      <c r="B4" s="98"/>
      <c r="C4" s="619" t="str">
        <f>Market</f>
        <v>Individual</v>
      </c>
      <c r="D4" s="620"/>
      <c r="E4" s="620"/>
      <c r="F4" s="620"/>
      <c r="G4" s="620"/>
      <c r="H4" s="620"/>
      <c r="I4" s="620"/>
      <c r="J4" s="620"/>
      <c r="K4" s="620"/>
      <c r="L4" s="620"/>
    </row>
    <row r="5" spans="1:23" ht="21" x14ac:dyDescent="0.35">
      <c r="A5" s="269" t="s">
        <v>40</v>
      </c>
      <c r="B5" s="98"/>
      <c r="C5" s="619">
        <f>PlanYear</f>
        <v>2026</v>
      </c>
      <c r="D5" s="620"/>
      <c r="E5" s="620"/>
      <c r="F5" s="620"/>
      <c r="G5" s="620"/>
      <c r="H5" s="620"/>
      <c r="I5" s="620"/>
      <c r="J5" s="620"/>
      <c r="K5" s="620"/>
      <c r="L5" s="620"/>
    </row>
    <row r="6" spans="1:23" ht="21" x14ac:dyDescent="0.35">
      <c r="A6" s="269" t="s">
        <v>41</v>
      </c>
      <c r="B6" s="98"/>
      <c r="C6" s="619">
        <f>ExperYear</f>
        <v>2024</v>
      </c>
      <c r="D6" s="620"/>
      <c r="E6" s="620"/>
      <c r="F6" s="620"/>
      <c r="G6" s="620"/>
      <c r="H6" s="620"/>
      <c r="I6" s="620"/>
      <c r="J6" s="620"/>
      <c r="K6" s="620"/>
      <c r="L6" s="620"/>
    </row>
    <row r="7" spans="1:23" s="82" customFormat="1" ht="15.75" x14ac:dyDescent="0.25">
      <c r="K7"/>
      <c r="L7"/>
      <c r="M7"/>
      <c r="N7"/>
      <c r="O7"/>
      <c r="P7"/>
      <c r="Q7"/>
    </row>
    <row r="8" spans="1:23" s="82" customFormat="1" ht="21" x14ac:dyDescent="0.35">
      <c r="A8" s="269" t="s">
        <v>146</v>
      </c>
      <c r="K8" s="362" t="s">
        <v>147</v>
      </c>
      <c r="L8" s="362"/>
      <c r="M8" s="362"/>
      <c r="N8" s="362"/>
      <c r="O8" s="362"/>
      <c r="P8"/>
      <c r="Q8"/>
    </row>
    <row r="9" spans="1:23" s="236" customFormat="1" ht="103.5" customHeight="1" x14ac:dyDescent="0.25">
      <c r="A9" s="315" t="s">
        <v>148</v>
      </c>
      <c r="B9" s="316" t="s">
        <v>43</v>
      </c>
      <c r="C9" s="316" t="s">
        <v>149</v>
      </c>
      <c r="D9" s="316" t="s">
        <v>150</v>
      </c>
      <c r="E9" s="316" t="s">
        <v>49</v>
      </c>
      <c r="F9" s="316" t="s">
        <v>151</v>
      </c>
      <c r="G9" s="316" t="s">
        <v>152</v>
      </c>
      <c r="H9" s="316" t="s">
        <v>153</v>
      </c>
      <c r="I9" s="316" t="s">
        <v>154</v>
      </c>
      <c r="J9" s="316" t="s">
        <v>155</v>
      </c>
      <c r="K9" s="317" t="s">
        <v>156</v>
      </c>
      <c r="L9" s="317" t="s">
        <v>157</v>
      </c>
      <c r="M9" s="317" t="s">
        <v>158</v>
      </c>
      <c r="N9" s="317" t="s">
        <v>159</v>
      </c>
      <c r="O9" s="317" t="s">
        <v>160</v>
      </c>
      <c r="P9" s="316" t="s">
        <v>161</v>
      </c>
      <c r="Q9" s="316" t="s">
        <v>162</v>
      </c>
      <c r="R9" s="316" t="s">
        <v>163</v>
      </c>
      <c r="S9" s="318" t="s">
        <v>164</v>
      </c>
      <c r="T9" s="318" t="s">
        <v>165</v>
      </c>
    </row>
    <row r="10" spans="1:23" s="236" customFormat="1" ht="15.75" x14ac:dyDescent="0.25">
      <c r="A10" s="237">
        <f>IF(RIGHT(A11,2)="01",A11-89,A11-1)*1</f>
        <v>202201</v>
      </c>
      <c r="B10" s="238"/>
      <c r="C10" s="345"/>
      <c r="D10" s="239"/>
      <c r="E10" s="351" t="e">
        <f>tbl_Exh3.1[[#This Row],[Allowed Claims 
(as of 3/31/2025)]]/tbl_Exh3.1[[#This Row],[Allowed Claims Completion factor (based on IBNP estimates)]]</f>
        <v>#DIV/0!</v>
      </c>
      <c r="F10" s="355"/>
      <c r="G10" s="355"/>
      <c r="H10" s="345"/>
      <c r="I10" s="351" t="e">
        <f>tbl_Exh3.1[[#This Row],[Ultimate Allowed Claims]]-tbl_Exh3.1[[#This Row],[One-Time Adjustment for High Claims (Non-Predictive Claims)]]-tbl_Exh3.1[[#This Row],[One-Time Adjustment for HCRP Receipts]]-tbl_Exh3.1[[#This Row],[Non-EHB Allowed Claims]]</f>
        <v>#DIV/0!</v>
      </c>
      <c r="J10" s="323" t="e">
        <f>tbl_Exh3.1[[#This Row],[Predictive Ultimate Allowed EHB Claims]]/tbl_Exh3.1[[#This Row],[Member Months]]</f>
        <v>#DIV/0!</v>
      </c>
      <c r="K10" s="240">
        <v>1</v>
      </c>
      <c r="L10" s="240">
        <v>1</v>
      </c>
      <c r="M10" s="240">
        <v>1</v>
      </c>
      <c r="N10" s="240">
        <v>1</v>
      </c>
      <c r="O10" s="240">
        <f>PRODUCT(tbl_Exh3.1[[#This Row],[Morbidity Adjustment]:[Other Adjustments]])</f>
        <v>1</v>
      </c>
      <c r="P10" s="240" cm="1">
        <f t="array" ref="P10">PRODUCT(IF(VALUE(RIGHT(tbl_Exh3.1[Incurred Date (YYYYMM)],2))=VALUE(RIGHT(tbl_Exh3.1[[#This Row],[Incurred Date (YYYYMM)]],2)),IF(VALUE(LEFT(tbl_Exh3.1[Incurred Date (YYYYMM)],4))&lt;=VALUE(LEFT(tbl_Exh3.1[[#This Row],[Incurred Date (YYYYMM)]],4)),tbl_Exh3.1[Combined Adjustment],1),1))</f>
        <v>1</v>
      </c>
      <c r="Q10" s="240">
        <f>INDEX(tbl_Exh3.1[Accumulated Adjustments],MATCH(VALUE(SUBSTITUTE(tbl_Exh3.1[[#This Row],[Incurred Date (YYYYMM)]],LEFT(tbl_Exh3.1[[#This Row],[Incurred Date (YYYYMM)]],4),ExperYear)),tbl_Exh3.1[Incurred Date (YYYYMM)],0))/tbl_Exh3.1[[#This Row],[Accumulated Adjustments]]</f>
        <v>0</v>
      </c>
      <c r="R10" s="241" t="e">
        <f>tbl_Exh3.1[[#This Row],[Allowable Rating Adjustment Normalization Factor]]*tbl_Exh3.1[[#This Row],[Predictive Ultimate Allowed EHB Claims PMPM]]</f>
        <v>#DIV/0!</v>
      </c>
      <c r="S10" s="242"/>
      <c r="T10" s="243"/>
      <c r="U10" s="281"/>
      <c r="V10" s="281"/>
      <c r="W10" s="281"/>
    </row>
    <row r="11" spans="1:23" s="236" customFormat="1" ht="15.75" x14ac:dyDescent="0.25">
      <c r="A11" s="237">
        <f t="shared" ref="A11:A44" si="0">IF(RIGHT(A12,2)="01",A12-89,A12-1)*1</f>
        <v>202202</v>
      </c>
      <c r="B11" s="238"/>
      <c r="C11" s="345"/>
      <c r="D11" s="239"/>
      <c r="E11" s="351" t="e">
        <f>tbl_Exh3.1[[#This Row],[Allowed Claims 
(as of 3/31/2025)]]/tbl_Exh3.1[[#This Row],[Allowed Claims Completion factor (based on IBNP estimates)]]</f>
        <v>#DIV/0!</v>
      </c>
      <c r="F11" s="355"/>
      <c r="G11" s="355"/>
      <c r="H11" s="345"/>
      <c r="I11" s="351" t="e">
        <f>tbl_Exh3.1[[#This Row],[Ultimate Allowed Claims]]-tbl_Exh3.1[[#This Row],[One-Time Adjustment for High Claims (Non-Predictive Claims)]]-tbl_Exh3.1[[#This Row],[One-Time Adjustment for HCRP Receipts]]-tbl_Exh3.1[[#This Row],[Non-EHB Allowed Claims]]</f>
        <v>#DIV/0!</v>
      </c>
      <c r="J11" s="323" t="e">
        <f>tbl_Exh3.1[[#This Row],[Predictive Ultimate Allowed EHB Claims]]/tbl_Exh3.1[[#This Row],[Member Months]]</f>
        <v>#DIV/0!</v>
      </c>
      <c r="K11" s="240">
        <v>1</v>
      </c>
      <c r="L11" s="240">
        <v>1</v>
      </c>
      <c r="M11" s="240">
        <v>1</v>
      </c>
      <c r="N11" s="240">
        <v>1</v>
      </c>
      <c r="O11" s="240">
        <f>PRODUCT(tbl_Exh3.1[[#This Row],[Morbidity Adjustment]:[Other Adjustments]])</f>
        <v>1</v>
      </c>
      <c r="P11" s="240" cm="1">
        <f t="array" ref="P11">PRODUCT(IF(VALUE(RIGHT(tbl_Exh3.1[Incurred Date (YYYYMM)],2))=VALUE(RIGHT(tbl_Exh3.1[[#This Row],[Incurred Date (YYYYMM)]],2)),IF(VALUE(LEFT(tbl_Exh3.1[Incurred Date (YYYYMM)],4))&lt;=VALUE(LEFT(tbl_Exh3.1[[#This Row],[Incurred Date (YYYYMM)]],4)),tbl_Exh3.1[Combined Adjustment],1),1))</f>
        <v>1</v>
      </c>
      <c r="Q11" s="240">
        <f>INDEX(tbl_Exh3.1[Accumulated Adjustments],MATCH(VALUE(SUBSTITUTE(tbl_Exh3.1[[#This Row],[Incurred Date (YYYYMM)]],LEFT(tbl_Exh3.1[[#This Row],[Incurred Date (YYYYMM)]],4),ExperYear)),tbl_Exh3.1[Incurred Date (YYYYMM)],0))/tbl_Exh3.1[[#This Row],[Accumulated Adjustments]]</f>
        <v>0</v>
      </c>
      <c r="R11" s="241" t="e">
        <f>tbl_Exh3.1[[#This Row],[Allowable Rating Adjustment Normalization Factor]]*tbl_Exh3.1[[#This Row],[Predictive Ultimate Allowed EHB Claims PMPM]]</f>
        <v>#DIV/0!</v>
      </c>
      <c r="S11" s="242"/>
      <c r="T11" s="243"/>
      <c r="U11" s="281"/>
      <c r="V11" s="281"/>
      <c r="W11" s="281"/>
    </row>
    <row r="12" spans="1:23" s="236" customFormat="1" ht="15.75" x14ac:dyDescent="0.25">
      <c r="A12" s="237">
        <f t="shared" si="0"/>
        <v>202203</v>
      </c>
      <c r="B12" s="238"/>
      <c r="C12" s="345"/>
      <c r="D12" s="239"/>
      <c r="E12" s="351" t="e">
        <f>tbl_Exh3.1[[#This Row],[Allowed Claims 
(as of 3/31/2025)]]/tbl_Exh3.1[[#This Row],[Allowed Claims Completion factor (based on IBNP estimates)]]</f>
        <v>#DIV/0!</v>
      </c>
      <c r="F12" s="355"/>
      <c r="G12" s="355"/>
      <c r="H12" s="345"/>
      <c r="I12" s="351" t="e">
        <f>tbl_Exh3.1[[#This Row],[Ultimate Allowed Claims]]-tbl_Exh3.1[[#This Row],[One-Time Adjustment for High Claims (Non-Predictive Claims)]]-tbl_Exh3.1[[#This Row],[One-Time Adjustment for HCRP Receipts]]-tbl_Exh3.1[[#This Row],[Non-EHB Allowed Claims]]</f>
        <v>#DIV/0!</v>
      </c>
      <c r="J12" s="323" t="e">
        <f>tbl_Exh3.1[[#This Row],[Predictive Ultimate Allowed EHB Claims]]/tbl_Exh3.1[[#This Row],[Member Months]]</f>
        <v>#DIV/0!</v>
      </c>
      <c r="K12" s="240">
        <v>1</v>
      </c>
      <c r="L12" s="240">
        <v>1</v>
      </c>
      <c r="M12" s="240">
        <v>1</v>
      </c>
      <c r="N12" s="240">
        <v>1</v>
      </c>
      <c r="O12" s="240">
        <f>PRODUCT(tbl_Exh3.1[[#This Row],[Morbidity Adjustment]:[Other Adjustments]])</f>
        <v>1</v>
      </c>
      <c r="P12" s="240" cm="1">
        <f t="array" ref="P12">PRODUCT(IF(VALUE(RIGHT(tbl_Exh3.1[Incurred Date (YYYYMM)],2))=VALUE(RIGHT(tbl_Exh3.1[[#This Row],[Incurred Date (YYYYMM)]],2)),IF(VALUE(LEFT(tbl_Exh3.1[Incurred Date (YYYYMM)],4))&lt;=VALUE(LEFT(tbl_Exh3.1[[#This Row],[Incurred Date (YYYYMM)]],4)),tbl_Exh3.1[Combined Adjustment],1),1))</f>
        <v>1</v>
      </c>
      <c r="Q12" s="240">
        <f>INDEX(tbl_Exh3.1[Accumulated Adjustments],MATCH(VALUE(SUBSTITUTE(tbl_Exh3.1[[#This Row],[Incurred Date (YYYYMM)]],LEFT(tbl_Exh3.1[[#This Row],[Incurred Date (YYYYMM)]],4),ExperYear)),tbl_Exh3.1[Incurred Date (YYYYMM)],0))/tbl_Exh3.1[[#This Row],[Accumulated Adjustments]]</f>
        <v>0</v>
      </c>
      <c r="R12" s="241" t="e">
        <f>tbl_Exh3.1[[#This Row],[Allowable Rating Adjustment Normalization Factor]]*tbl_Exh3.1[[#This Row],[Predictive Ultimate Allowed EHB Claims PMPM]]</f>
        <v>#DIV/0!</v>
      </c>
      <c r="S12" s="242"/>
      <c r="T12" s="243"/>
      <c r="U12" s="281"/>
      <c r="V12" s="281"/>
      <c r="W12" s="281"/>
    </row>
    <row r="13" spans="1:23" s="236" customFormat="1" ht="15.75" x14ac:dyDescent="0.25">
      <c r="A13" s="237">
        <f t="shared" si="0"/>
        <v>202204</v>
      </c>
      <c r="B13" s="238"/>
      <c r="C13" s="345"/>
      <c r="D13" s="239"/>
      <c r="E13" s="351" t="e">
        <f>tbl_Exh3.1[[#This Row],[Allowed Claims 
(as of 3/31/2025)]]/tbl_Exh3.1[[#This Row],[Allowed Claims Completion factor (based on IBNP estimates)]]</f>
        <v>#DIV/0!</v>
      </c>
      <c r="F13" s="355"/>
      <c r="G13" s="355"/>
      <c r="H13" s="345"/>
      <c r="I13" s="351" t="e">
        <f>tbl_Exh3.1[[#This Row],[Ultimate Allowed Claims]]-tbl_Exh3.1[[#This Row],[One-Time Adjustment for High Claims (Non-Predictive Claims)]]-tbl_Exh3.1[[#This Row],[One-Time Adjustment for HCRP Receipts]]-tbl_Exh3.1[[#This Row],[Non-EHB Allowed Claims]]</f>
        <v>#DIV/0!</v>
      </c>
      <c r="J13" s="323" t="e">
        <f>tbl_Exh3.1[[#This Row],[Predictive Ultimate Allowed EHB Claims]]/tbl_Exh3.1[[#This Row],[Member Months]]</f>
        <v>#DIV/0!</v>
      </c>
      <c r="K13" s="240">
        <v>1</v>
      </c>
      <c r="L13" s="240">
        <v>1</v>
      </c>
      <c r="M13" s="240">
        <v>1</v>
      </c>
      <c r="N13" s="240">
        <v>1</v>
      </c>
      <c r="O13" s="240">
        <f>PRODUCT(tbl_Exh3.1[[#This Row],[Morbidity Adjustment]:[Other Adjustments]])</f>
        <v>1</v>
      </c>
      <c r="P13" s="240" cm="1">
        <f t="array" ref="P13">PRODUCT(IF(VALUE(RIGHT(tbl_Exh3.1[Incurred Date (YYYYMM)],2))=VALUE(RIGHT(tbl_Exh3.1[[#This Row],[Incurred Date (YYYYMM)]],2)),IF(VALUE(LEFT(tbl_Exh3.1[Incurred Date (YYYYMM)],4))&lt;=VALUE(LEFT(tbl_Exh3.1[[#This Row],[Incurred Date (YYYYMM)]],4)),tbl_Exh3.1[Combined Adjustment],1),1))</f>
        <v>1</v>
      </c>
      <c r="Q13" s="240">
        <f>INDEX(tbl_Exh3.1[Accumulated Adjustments],MATCH(VALUE(SUBSTITUTE(tbl_Exh3.1[[#This Row],[Incurred Date (YYYYMM)]],LEFT(tbl_Exh3.1[[#This Row],[Incurred Date (YYYYMM)]],4),ExperYear)),tbl_Exh3.1[Incurred Date (YYYYMM)],0))/tbl_Exh3.1[[#This Row],[Accumulated Adjustments]]</f>
        <v>0</v>
      </c>
      <c r="R13" s="241" t="e">
        <f>tbl_Exh3.1[[#This Row],[Allowable Rating Adjustment Normalization Factor]]*tbl_Exh3.1[[#This Row],[Predictive Ultimate Allowed EHB Claims PMPM]]</f>
        <v>#DIV/0!</v>
      </c>
      <c r="S13" s="242"/>
      <c r="T13" s="243"/>
      <c r="U13" s="281"/>
      <c r="V13" s="281"/>
      <c r="W13" s="281"/>
    </row>
    <row r="14" spans="1:23" s="236" customFormat="1" ht="15.75" x14ac:dyDescent="0.25">
      <c r="A14" s="237">
        <f t="shared" si="0"/>
        <v>202205</v>
      </c>
      <c r="B14" s="238"/>
      <c r="C14" s="345"/>
      <c r="D14" s="239"/>
      <c r="E14" s="351" t="e">
        <f>tbl_Exh3.1[[#This Row],[Allowed Claims 
(as of 3/31/2025)]]/tbl_Exh3.1[[#This Row],[Allowed Claims Completion factor (based on IBNP estimates)]]</f>
        <v>#DIV/0!</v>
      </c>
      <c r="F14" s="355"/>
      <c r="G14" s="355"/>
      <c r="H14" s="345"/>
      <c r="I14" s="351" t="e">
        <f>tbl_Exh3.1[[#This Row],[Ultimate Allowed Claims]]-tbl_Exh3.1[[#This Row],[One-Time Adjustment for High Claims (Non-Predictive Claims)]]-tbl_Exh3.1[[#This Row],[One-Time Adjustment for HCRP Receipts]]-tbl_Exh3.1[[#This Row],[Non-EHB Allowed Claims]]</f>
        <v>#DIV/0!</v>
      </c>
      <c r="J14" s="323" t="e">
        <f>tbl_Exh3.1[[#This Row],[Predictive Ultimate Allowed EHB Claims]]/tbl_Exh3.1[[#This Row],[Member Months]]</f>
        <v>#DIV/0!</v>
      </c>
      <c r="K14" s="240">
        <v>1</v>
      </c>
      <c r="L14" s="240">
        <v>1</v>
      </c>
      <c r="M14" s="240">
        <v>1</v>
      </c>
      <c r="N14" s="240">
        <v>1</v>
      </c>
      <c r="O14" s="240">
        <f>PRODUCT(tbl_Exh3.1[[#This Row],[Morbidity Adjustment]:[Other Adjustments]])</f>
        <v>1</v>
      </c>
      <c r="P14" s="240" cm="1">
        <f t="array" ref="P14">PRODUCT(IF(VALUE(RIGHT(tbl_Exh3.1[Incurred Date (YYYYMM)],2))=VALUE(RIGHT(tbl_Exh3.1[[#This Row],[Incurred Date (YYYYMM)]],2)),IF(VALUE(LEFT(tbl_Exh3.1[Incurred Date (YYYYMM)],4))&lt;=VALUE(LEFT(tbl_Exh3.1[[#This Row],[Incurred Date (YYYYMM)]],4)),tbl_Exh3.1[Combined Adjustment],1),1))</f>
        <v>1</v>
      </c>
      <c r="Q14" s="240">
        <f>INDEX(tbl_Exh3.1[Accumulated Adjustments],MATCH(VALUE(SUBSTITUTE(tbl_Exh3.1[[#This Row],[Incurred Date (YYYYMM)]],LEFT(tbl_Exh3.1[[#This Row],[Incurred Date (YYYYMM)]],4),ExperYear)),tbl_Exh3.1[Incurred Date (YYYYMM)],0))/tbl_Exh3.1[[#This Row],[Accumulated Adjustments]]</f>
        <v>0</v>
      </c>
      <c r="R14" s="241" t="e">
        <f>tbl_Exh3.1[[#This Row],[Allowable Rating Adjustment Normalization Factor]]*tbl_Exh3.1[[#This Row],[Predictive Ultimate Allowed EHB Claims PMPM]]</f>
        <v>#DIV/0!</v>
      </c>
      <c r="S14" s="242"/>
      <c r="T14" s="243"/>
      <c r="U14" s="281"/>
      <c r="V14" s="281"/>
      <c r="W14" s="281"/>
    </row>
    <row r="15" spans="1:23" s="236" customFormat="1" ht="15.75" x14ac:dyDescent="0.25">
      <c r="A15" s="237">
        <f t="shared" si="0"/>
        <v>202206</v>
      </c>
      <c r="B15" s="238"/>
      <c r="C15" s="345"/>
      <c r="D15" s="239"/>
      <c r="E15" s="351" t="e">
        <f>tbl_Exh3.1[[#This Row],[Allowed Claims 
(as of 3/31/2025)]]/tbl_Exh3.1[[#This Row],[Allowed Claims Completion factor (based on IBNP estimates)]]</f>
        <v>#DIV/0!</v>
      </c>
      <c r="F15" s="355"/>
      <c r="G15" s="355"/>
      <c r="H15" s="345"/>
      <c r="I15" s="351" t="e">
        <f>tbl_Exh3.1[[#This Row],[Ultimate Allowed Claims]]-tbl_Exh3.1[[#This Row],[One-Time Adjustment for High Claims (Non-Predictive Claims)]]-tbl_Exh3.1[[#This Row],[One-Time Adjustment for HCRP Receipts]]-tbl_Exh3.1[[#This Row],[Non-EHB Allowed Claims]]</f>
        <v>#DIV/0!</v>
      </c>
      <c r="J15" s="323" t="e">
        <f>tbl_Exh3.1[[#This Row],[Predictive Ultimate Allowed EHB Claims]]/tbl_Exh3.1[[#This Row],[Member Months]]</f>
        <v>#DIV/0!</v>
      </c>
      <c r="K15" s="240">
        <v>1</v>
      </c>
      <c r="L15" s="240">
        <v>1</v>
      </c>
      <c r="M15" s="240">
        <v>1</v>
      </c>
      <c r="N15" s="240">
        <v>1</v>
      </c>
      <c r="O15" s="240">
        <f>PRODUCT(tbl_Exh3.1[[#This Row],[Morbidity Adjustment]:[Other Adjustments]])</f>
        <v>1</v>
      </c>
      <c r="P15" s="240" cm="1">
        <f t="array" ref="P15">PRODUCT(IF(VALUE(RIGHT(tbl_Exh3.1[Incurred Date (YYYYMM)],2))=VALUE(RIGHT(tbl_Exh3.1[[#This Row],[Incurred Date (YYYYMM)]],2)),IF(VALUE(LEFT(tbl_Exh3.1[Incurred Date (YYYYMM)],4))&lt;=VALUE(LEFT(tbl_Exh3.1[[#This Row],[Incurred Date (YYYYMM)]],4)),tbl_Exh3.1[Combined Adjustment],1),1))</f>
        <v>1</v>
      </c>
      <c r="Q15" s="240">
        <f>INDEX(tbl_Exh3.1[Accumulated Adjustments],MATCH(VALUE(SUBSTITUTE(tbl_Exh3.1[[#This Row],[Incurred Date (YYYYMM)]],LEFT(tbl_Exh3.1[[#This Row],[Incurred Date (YYYYMM)]],4),ExperYear)),tbl_Exh3.1[Incurred Date (YYYYMM)],0))/tbl_Exh3.1[[#This Row],[Accumulated Adjustments]]</f>
        <v>0</v>
      </c>
      <c r="R15" s="241" t="e">
        <f>tbl_Exh3.1[[#This Row],[Allowable Rating Adjustment Normalization Factor]]*tbl_Exh3.1[[#This Row],[Predictive Ultimate Allowed EHB Claims PMPM]]</f>
        <v>#DIV/0!</v>
      </c>
      <c r="S15" s="242"/>
      <c r="T15" s="243"/>
      <c r="U15" s="281"/>
      <c r="V15" s="281"/>
      <c r="W15" s="281"/>
    </row>
    <row r="16" spans="1:23" s="236" customFormat="1" ht="15.75" x14ac:dyDescent="0.25">
      <c r="A16" s="237">
        <f t="shared" si="0"/>
        <v>202207</v>
      </c>
      <c r="B16" s="238"/>
      <c r="C16" s="345"/>
      <c r="D16" s="239"/>
      <c r="E16" s="351" t="e">
        <f>tbl_Exh3.1[[#This Row],[Allowed Claims 
(as of 3/31/2025)]]/tbl_Exh3.1[[#This Row],[Allowed Claims Completion factor (based on IBNP estimates)]]</f>
        <v>#DIV/0!</v>
      </c>
      <c r="F16" s="355"/>
      <c r="G16" s="355"/>
      <c r="H16" s="345"/>
      <c r="I16" s="351" t="e">
        <f>tbl_Exh3.1[[#This Row],[Ultimate Allowed Claims]]-tbl_Exh3.1[[#This Row],[One-Time Adjustment for High Claims (Non-Predictive Claims)]]-tbl_Exh3.1[[#This Row],[One-Time Adjustment for HCRP Receipts]]-tbl_Exh3.1[[#This Row],[Non-EHB Allowed Claims]]</f>
        <v>#DIV/0!</v>
      </c>
      <c r="J16" s="323" t="e">
        <f>tbl_Exh3.1[[#This Row],[Predictive Ultimate Allowed EHB Claims]]/tbl_Exh3.1[[#This Row],[Member Months]]</f>
        <v>#DIV/0!</v>
      </c>
      <c r="K16" s="240">
        <v>1</v>
      </c>
      <c r="L16" s="240">
        <v>1</v>
      </c>
      <c r="M16" s="240">
        <v>1</v>
      </c>
      <c r="N16" s="240">
        <v>1</v>
      </c>
      <c r="O16" s="240">
        <f>PRODUCT(tbl_Exh3.1[[#This Row],[Morbidity Adjustment]:[Other Adjustments]])</f>
        <v>1</v>
      </c>
      <c r="P16" s="240" cm="1">
        <f t="array" ref="P16">PRODUCT(IF(VALUE(RIGHT(tbl_Exh3.1[Incurred Date (YYYYMM)],2))=VALUE(RIGHT(tbl_Exh3.1[[#This Row],[Incurred Date (YYYYMM)]],2)),IF(VALUE(LEFT(tbl_Exh3.1[Incurred Date (YYYYMM)],4))&lt;=VALUE(LEFT(tbl_Exh3.1[[#This Row],[Incurred Date (YYYYMM)]],4)),tbl_Exh3.1[Combined Adjustment],1),1))</f>
        <v>1</v>
      </c>
      <c r="Q16" s="240">
        <f>INDEX(tbl_Exh3.1[Accumulated Adjustments],MATCH(VALUE(SUBSTITUTE(tbl_Exh3.1[[#This Row],[Incurred Date (YYYYMM)]],LEFT(tbl_Exh3.1[[#This Row],[Incurred Date (YYYYMM)]],4),ExperYear)),tbl_Exh3.1[Incurred Date (YYYYMM)],0))/tbl_Exh3.1[[#This Row],[Accumulated Adjustments]]</f>
        <v>0</v>
      </c>
      <c r="R16" s="241" t="e">
        <f>tbl_Exh3.1[[#This Row],[Allowable Rating Adjustment Normalization Factor]]*tbl_Exh3.1[[#This Row],[Predictive Ultimate Allowed EHB Claims PMPM]]</f>
        <v>#DIV/0!</v>
      </c>
      <c r="S16" s="242"/>
      <c r="T16" s="243"/>
      <c r="U16" s="281"/>
      <c r="V16" s="281"/>
      <c r="W16" s="281"/>
    </row>
    <row r="17" spans="1:23" s="236" customFormat="1" ht="15.75" x14ac:dyDescent="0.25">
      <c r="A17" s="237">
        <f t="shared" si="0"/>
        <v>202208</v>
      </c>
      <c r="B17" s="238"/>
      <c r="C17" s="345"/>
      <c r="D17" s="239"/>
      <c r="E17" s="351" t="e">
        <f>tbl_Exh3.1[[#This Row],[Allowed Claims 
(as of 3/31/2025)]]/tbl_Exh3.1[[#This Row],[Allowed Claims Completion factor (based on IBNP estimates)]]</f>
        <v>#DIV/0!</v>
      </c>
      <c r="F17" s="355"/>
      <c r="G17" s="355"/>
      <c r="H17" s="345"/>
      <c r="I17" s="351" t="e">
        <f>tbl_Exh3.1[[#This Row],[Ultimate Allowed Claims]]-tbl_Exh3.1[[#This Row],[One-Time Adjustment for High Claims (Non-Predictive Claims)]]-tbl_Exh3.1[[#This Row],[One-Time Adjustment for HCRP Receipts]]-tbl_Exh3.1[[#This Row],[Non-EHB Allowed Claims]]</f>
        <v>#DIV/0!</v>
      </c>
      <c r="J17" s="323" t="e">
        <f>tbl_Exh3.1[[#This Row],[Predictive Ultimate Allowed EHB Claims]]/tbl_Exh3.1[[#This Row],[Member Months]]</f>
        <v>#DIV/0!</v>
      </c>
      <c r="K17" s="240">
        <v>1</v>
      </c>
      <c r="L17" s="240">
        <v>1</v>
      </c>
      <c r="M17" s="240">
        <v>1</v>
      </c>
      <c r="N17" s="240">
        <v>1</v>
      </c>
      <c r="O17" s="240">
        <f>PRODUCT(tbl_Exh3.1[[#This Row],[Morbidity Adjustment]:[Other Adjustments]])</f>
        <v>1</v>
      </c>
      <c r="P17" s="240" cm="1">
        <f t="array" ref="P17">PRODUCT(IF(VALUE(RIGHT(tbl_Exh3.1[Incurred Date (YYYYMM)],2))=VALUE(RIGHT(tbl_Exh3.1[[#This Row],[Incurred Date (YYYYMM)]],2)),IF(VALUE(LEFT(tbl_Exh3.1[Incurred Date (YYYYMM)],4))&lt;=VALUE(LEFT(tbl_Exh3.1[[#This Row],[Incurred Date (YYYYMM)]],4)),tbl_Exh3.1[Combined Adjustment],1),1))</f>
        <v>1</v>
      </c>
      <c r="Q17" s="240">
        <f>INDEX(tbl_Exh3.1[Accumulated Adjustments],MATCH(VALUE(SUBSTITUTE(tbl_Exh3.1[[#This Row],[Incurred Date (YYYYMM)]],LEFT(tbl_Exh3.1[[#This Row],[Incurred Date (YYYYMM)]],4),ExperYear)),tbl_Exh3.1[Incurred Date (YYYYMM)],0))/tbl_Exh3.1[[#This Row],[Accumulated Adjustments]]</f>
        <v>0</v>
      </c>
      <c r="R17" s="241" t="e">
        <f>tbl_Exh3.1[[#This Row],[Allowable Rating Adjustment Normalization Factor]]*tbl_Exh3.1[[#This Row],[Predictive Ultimate Allowed EHB Claims PMPM]]</f>
        <v>#DIV/0!</v>
      </c>
      <c r="S17" s="242"/>
      <c r="T17" s="243"/>
      <c r="U17" s="281"/>
      <c r="V17" s="281"/>
      <c r="W17" s="281"/>
    </row>
    <row r="18" spans="1:23" s="236" customFormat="1" ht="15.75" x14ac:dyDescent="0.25">
      <c r="A18" s="237">
        <f t="shared" si="0"/>
        <v>202209</v>
      </c>
      <c r="B18" s="238"/>
      <c r="C18" s="345"/>
      <c r="D18" s="239"/>
      <c r="E18" s="351" t="e">
        <f>tbl_Exh3.1[[#This Row],[Allowed Claims 
(as of 3/31/2025)]]/tbl_Exh3.1[[#This Row],[Allowed Claims Completion factor (based on IBNP estimates)]]</f>
        <v>#DIV/0!</v>
      </c>
      <c r="F18" s="355"/>
      <c r="G18" s="355"/>
      <c r="H18" s="345"/>
      <c r="I18" s="351" t="e">
        <f>tbl_Exh3.1[[#This Row],[Ultimate Allowed Claims]]-tbl_Exh3.1[[#This Row],[One-Time Adjustment for High Claims (Non-Predictive Claims)]]-tbl_Exh3.1[[#This Row],[One-Time Adjustment for HCRP Receipts]]-tbl_Exh3.1[[#This Row],[Non-EHB Allowed Claims]]</f>
        <v>#DIV/0!</v>
      </c>
      <c r="J18" s="323" t="e">
        <f>tbl_Exh3.1[[#This Row],[Predictive Ultimate Allowed EHB Claims]]/tbl_Exh3.1[[#This Row],[Member Months]]</f>
        <v>#DIV/0!</v>
      </c>
      <c r="K18" s="240">
        <v>1</v>
      </c>
      <c r="L18" s="240">
        <v>1</v>
      </c>
      <c r="M18" s="240">
        <v>1</v>
      </c>
      <c r="N18" s="240">
        <v>1</v>
      </c>
      <c r="O18" s="240">
        <f>PRODUCT(tbl_Exh3.1[[#This Row],[Morbidity Adjustment]:[Other Adjustments]])</f>
        <v>1</v>
      </c>
      <c r="P18" s="240" cm="1">
        <f t="array" ref="P18">PRODUCT(IF(VALUE(RIGHT(tbl_Exh3.1[Incurred Date (YYYYMM)],2))=VALUE(RIGHT(tbl_Exh3.1[[#This Row],[Incurred Date (YYYYMM)]],2)),IF(VALUE(LEFT(tbl_Exh3.1[Incurred Date (YYYYMM)],4))&lt;=VALUE(LEFT(tbl_Exh3.1[[#This Row],[Incurred Date (YYYYMM)]],4)),tbl_Exh3.1[Combined Adjustment],1),1))</f>
        <v>1</v>
      </c>
      <c r="Q18" s="240">
        <f>INDEX(tbl_Exh3.1[Accumulated Adjustments],MATCH(VALUE(SUBSTITUTE(tbl_Exh3.1[[#This Row],[Incurred Date (YYYYMM)]],LEFT(tbl_Exh3.1[[#This Row],[Incurred Date (YYYYMM)]],4),ExperYear)),tbl_Exh3.1[Incurred Date (YYYYMM)],0))/tbl_Exh3.1[[#This Row],[Accumulated Adjustments]]</f>
        <v>0</v>
      </c>
      <c r="R18" s="241" t="e">
        <f>tbl_Exh3.1[[#This Row],[Allowable Rating Adjustment Normalization Factor]]*tbl_Exh3.1[[#This Row],[Predictive Ultimate Allowed EHB Claims PMPM]]</f>
        <v>#DIV/0!</v>
      </c>
      <c r="S18" s="242"/>
      <c r="T18" s="243"/>
      <c r="U18" s="281"/>
      <c r="V18" s="281"/>
      <c r="W18" s="281"/>
    </row>
    <row r="19" spans="1:23" s="236" customFormat="1" ht="15.75" x14ac:dyDescent="0.25">
      <c r="A19" s="237">
        <f t="shared" si="0"/>
        <v>202210</v>
      </c>
      <c r="B19" s="238"/>
      <c r="C19" s="345"/>
      <c r="D19" s="239"/>
      <c r="E19" s="351" t="e">
        <f>tbl_Exh3.1[[#This Row],[Allowed Claims 
(as of 3/31/2025)]]/tbl_Exh3.1[[#This Row],[Allowed Claims Completion factor (based on IBNP estimates)]]</f>
        <v>#DIV/0!</v>
      </c>
      <c r="F19" s="355"/>
      <c r="G19" s="355"/>
      <c r="H19" s="345"/>
      <c r="I19" s="351" t="e">
        <f>tbl_Exh3.1[[#This Row],[Ultimate Allowed Claims]]-tbl_Exh3.1[[#This Row],[One-Time Adjustment for High Claims (Non-Predictive Claims)]]-tbl_Exh3.1[[#This Row],[One-Time Adjustment for HCRP Receipts]]-tbl_Exh3.1[[#This Row],[Non-EHB Allowed Claims]]</f>
        <v>#DIV/0!</v>
      </c>
      <c r="J19" s="323" t="e">
        <f>tbl_Exh3.1[[#This Row],[Predictive Ultimate Allowed EHB Claims]]/tbl_Exh3.1[[#This Row],[Member Months]]</f>
        <v>#DIV/0!</v>
      </c>
      <c r="K19" s="240">
        <v>1</v>
      </c>
      <c r="L19" s="240">
        <v>1</v>
      </c>
      <c r="M19" s="240">
        <v>1</v>
      </c>
      <c r="N19" s="240">
        <v>1</v>
      </c>
      <c r="O19" s="240">
        <f>PRODUCT(tbl_Exh3.1[[#This Row],[Morbidity Adjustment]:[Other Adjustments]])</f>
        <v>1</v>
      </c>
      <c r="P19" s="240" cm="1">
        <f t="array" ref="P19">PRODUCT(IF(VALUE(RIGHT(tbl_Exh3.1[Incurred Date (YYYYMM)],2))=VALUE(RIGHT(tbl_Exh3.1[[#This Row],[Incurred Date (YYYYMM)]],2)),IF(VALUE(LEFT(tbl_Exh3.1[Incurred Date (YYYYMM)],4))&lt;=VALUE(LEFT(tbl_Exh3.1[[#This Row],[Incurred Date (YYYYMM)]],4)),tbl_Exh3.1[Combined Adjustment],1),1))</f>
        <v>1</v>
      </c>
      <c r="Q19" s="240">
        <f>INDEX(tbl_Exh3.1[Accumulated Adjustments],MATCH(VALUE(SUBSTITUTE(tbl_Exh3.1[[#This Row],[Incurred Date (YYYYMM)]],LEFT(tbl_Exh3.1[[#This Row],[Incurred Date (YYYYMM)]],4),ExperYear)),tbl_Exh3.1[Incurred Date (YYYYMM)],0))/tbl_Exh3.1[[#This Row],[Accumulated Adjustments]]</f>
        <v>0</v>
      </c>
      <c r="R19" s="241" t="e">
        <f>tbl_Exh3.1[[#This Row],[Allowable Rating Adjustment Normalization Factor]]*tbl_Exh3.1[[#This Row],[Predictive Ultimate Allowed EHB Claims PMPM]]</f>
        <v>#DIV/0!</v>
      </c>
      <c r="S19" s="242"/>
      <c r="T19" s="243"/>
      <c r="U19" s="281"/>
      <c r="V19" s="281"/>
      <c r="W19" s="281"/>
    </row>
    <row r="20" spans="1:23" s="236" customFormat="1" ht="15.75" x14ac:dyDescent="0.25">
      <c r="A20" s="237">
        <f t="shared" si="0"/>
        <v>202211</v>
      </c>
      <c r="B20" s="238"/>
      <c r="C20" s="345"/>
      <c r="D20" s="239"/>
      <c r="E20" s="351" t="e">
        <f>tbl_Exh3.1[[#This Row],[Allowed Claims 
(as of 3/31/2025)]]/tbl_Exh3.1[[#This Row],[Allowed Claims Completion factor (based on IBNP estimates)]]</f>
        <v>#DIV/0!</v>
      </c>
      <c r="F20" s="355"/>
      <c r="G20" s="355"/>
      <c r="H20" s="345"/>
      <c r="I20" s="351" t="e">
        <f>tbl_Exh3.1[[#This Row],[Ultimate Allowed Claims]]-tbl_Exh3.1[[#This Row],[One-Time Adjustment for High Claims (Non-Predictive Claims)]]-tbl_Exh3.1[[#This Row],[One-Time Adjustment for HCRP Receipts]]-tbl_Exh3.1[[#This Row],[Non-EHB Allowed Claims]]</f>
        <v>#DIV/0!</v>
      </c>
      <c r="J20" s="323" t="e">
        <f>tbl_Exh3.1[[#This Row],[Predictive Ultimate Allowed EHB Claims]]/tbl_Exh3.1[[#This Row],[Member Months]]</f>
        <v>#DIV/0!</v>
      </c>
      <c r="K20" s="240">
        <v>1</v>
      </c>
      <c r="L20" s="240">
        <v>1</v>
      </c>
      <c r="M20" s="240">
        <v>1</v>
      </c>
      <c r="N20" s="240">
        <v>1</v>
      </c>
      <c r="O20" s="240">
        <f>PRODUCT(tbl_Exh3.1[[#This Row],[Morbidity Adjustment]:[Other Adjustments]])</f>
        <v>1</v>
      </c>
      <c r="P20" s="240" cm="1">
        <f t="array" ref="P20">PRODUCT(IF(VALUE(RIGHT(tbl_Exh3.1[Incurred Date (YYYYMM)],2))=VALUE(RIGHT(tbl_Exh3.1[[#This Row],[Incurred Date (YYYYMM)]],2)),IF(VALUE(LEFT(tbl_Exh3.1[Incurred Date (YYYYMM)],4))&lt;=VALUE(LEFT(tbl_Exh3.1[[#This Row],[Incurred Date (YYYYMM)]],4)),tbl_Exh3.1[Combined Adjustment],1),1))</f>
        <v>1</v>
      </c>
      <c r="Q20" s="240">
        <f>INDEX(tbl_Exh3.1[Accumulated Adjustments],MATCH(VALUE(SUBSTITUTE(tbl_Exh3.1[[#This Row],[Incurred Date (YYYYMM)]],LEFT(tbl_Exh3.1[[#This Row],[Incurred Date (YYYYMM)]],4),ExperYear)),tbl_Exh3.1[Incurred Date (YYYYMM)],0))/tbl_Exh3.1[[#This Row],[Accumulated Adjustments]]</f>
        <v>0</v>
      </c>
      <c r="R20" s="241" t="e">
        <f>tbl_Exh3.1[[#This Row],[Allowable Rating Adjustment Normalization Factor]]*tbl_Exh3.1[[#This Row],[Predictive Ultimate Allowed EHB Claims PMPM]]</f>
        <v>#DIV/0!</v>
      </c>
      <c r="S20" s="242"/>
      <c r="T20" s="243"/>
      <c r="U20" s="281"/>
      <c r="V20" s="281"/>
      <c r="W20" s="281"/>
    </row>
    <row r="21" spans="1:23" s="236" customFormat="1" ht="16.5" thickBot="1" x14ac:dyDescent="0.3">
      <c r="A21" s="332">
        <f t="shared" si="0"/>
        <v>202212</v>
      </c>
      <c r="B21" s="333"/>
      <c r="C21" s="346"/>
      <c r="D21" s="334"/>
      <c r="E21" s="352" t="e">
        <f>tbl_Exh3.1[[#This Row],[Allowed Claims 
(as of 3/31/2025)]]/tbl_Exh3.1[[#This Row],[Allowed Claims Completion factor (based on IBNP estimates)]]</f>
        <v>#DIV/0!</v>
      </c>
      <c r="F21" s="356"/>
      <c r="G21" s="356"/>
      <c r="H21" s="346"/>
      <c r="I21" s="352" t="e">
        <f>tbl_Exh3.1[[#This Row],[Ultimate Allowed Claims]]-tbl_Exh3.1[[#This Row],[One-Time Adjustment for High Claims (Non-Predictive Claims)]]-tbl_Exh3.1[[#This Row],[One-Time Adjustment for HCRP Receipts]]-tbl_Exh3.1[[#This Row],[Non-EHB Allowed Claims]]</f>
        <v>#DIV/0!</v>
      </c>
      <c r="J21" s="335" t="e">
        <f>tbl_Exh3.1[[#This Row],[Predictive Ultimate Allowed EHB Claims]]/tbl_Exh3.1[[#This Row],[Member Months]]</f>
        <v>#DIV/0!</v>
      </c>
      <c r="K21" s="336">
        <v>1</v>
      </c>
      <c r="L21" s="336">
        <v>1</v>
      </c>
      <c r="M21" s="336">
        <v>1</v>
      </c>
      <c r="N21" s="336">
        <v>1</v>
      </c>
      <c r="O21" s="336">
        <f>PRODUCT(tbl_Exh3.1[[#This Row],[Morbidity Adjustment]:[Other Adjustments]])</f>
        <v>1</v>
      </c>
      <c r="P21" s="336" cm="1">
        <f t="array" ref="P21">PRODUCT(IF(VALUE(RIGHT(tbl_Exh3.1[Incurred Date (YYYYMM)],2))=VALUE(RIGHT(tbl_Exh3.1[[#This Row],[Incurred Date (YYYYMM)]],2)),IF(VALUE(LEFT(tbl_Exh3.1[Incurred Date (YYYYMM)],4))&lt;=VALUE(LEFT(tbl_Exh3.1[[#This Row],[Incurred Date (YYYYMM)]],4)),tbl_Exh3.1[Combined Adjustment],1),1))</f>
        <v>1</v>
      </c>
      <c r="Q21" s="336">
        <f>INDEX(tbl_Exh3.1[Accumulated Adjustments],MATCH(VALUE(SUBSTITUTE(tbl_Exh3.1[[#This Row],[Incurred Date (YYYYMM)]],LEFT(tbl_Exh3.1[[#This Row],[Incurred Date (YYYYMM)]],4),ExperYear)),tbl_Exh3.1[Incurred Date (YYYYMM)],0))/tbl_Exh3.1[[#This Row],[Accumulated Adjustments]]</f>
        <v>0</v>
      </c>
      <c r="R21" s="337" t="e">
        <f>tbl_Exh3.1[[#This Row],[Allowable Rating Adjustment Normalization Factor]]*tbl_Exh3.1[[#This Row],[Predictive Ultimate Allowed EHB Claims PMPM]]</f>
        <v>#DIV/0!</v>
      </c>
      <c r="S21" s="338"/>
      <c r="T21" s="339"/>
      <c r="U21" s="281"/>
      <c r="V21" s="281"/>
      <c r="W21" s="281"/>
    </row>
    <row r="22" spans="1:23" s="236" customFormat="1" ht="15.75" x14ac:dyDescent="0.25">
      <c r="A22" s="231">
        <f t="shared" si="0"/>
        <v>202301</v>
      </c>
      <c r="B22" s="325"/>
      <c r="C22" s="347"/>
      <c r="D22" s="326"/>
      <c r="E22" s="353" t="e">
        <f>tbl_Exh3.1[[#This Row],[Allowed Claims 
(as of 3/31/2025)]]/tbl_Exh3.1[[#This Row],[Allowed Claims Completion factor (based on IBNP estimates)]]</f>
        <v>#DIV/0!</v>
      </c>
      <c r="F22" s="357"/>
      <c r="G22" s="357"/>
      <c r="H22" s="347"/>
      <c r="I22" s="353" t="e">
        <f>tbl_Exh3.1[[#This Row],[Ultimate Allowed Claims]]-tbl_Exh3.1[[#This Row],[One-Time Adjustment for High Claims (Non-Predictive Claims)]]-tbl_Exh3.1[[#This Row],[One-Time Adjustment for HCRP Receipts]]-tbl_Exh3.1[[#This Row],[Non-EHB Allowed Claims]]</f>
        <v>#DIV/0!</v>
      </c>
      <c r="J22" s="327" t="e">
        <f>tbl_Exh3.1[[#This Row],[Predictive Ultimate Allowed EHB Claims]]/tbl_Exh3.1[[#This Row],[Member Months]]</f>
        <v>#DIV/0!</v>
      </c>
      <c r="K22" s="326"/>
      <c r="L22" s="326"/>
      <c r="M22" s="326"/>
      <c r="N22" s="326"/>
      <c r="O22" s="328">
        <f>PRODUCT(tbl_Exh3.1[[#This Row],[Morbidity Adjustment]:[Other Adjustments]])</f>
        <v>0</v>
      </c>
      <c r="P22" s="328" cm="1">
        <f t="array" ref="P22">PRODUCT(IF(VALUE(RIGHT(tbl_Exh3.1[Incurred Date (YYYYMM)],2))=VALUE(RIGHT(tbl_Exh3.1[[#This Row],[Incurred Date (YYYYMM)]],2)),IF(VALUE(LEFT(tbl_Exh3.1[Incurred Date (YYYYMM)],4))&lt;=VALUE(LEFT(tbl_Exh3.1[[#This Row],[Incurred Date (YYYYMM)]],4)),tbl_Exh3.1[Combined Adjustment],1),1))</f>
        <v>0</v>
      </c>
      <c r="Q22" s="328" t="e">
        <f>INDEX(tbl_Exh3.1[Accumulated Adjustments],MATCH(VALUE(SUBSTITUTE(tbl_Exh3.1[[#This Row],[Incurred Date (YYYYMM)]],LEFT(tbl_Exh3.1[[#This Row],[Incurred Date (YYYYMM)]],4),ExperYear)),tbl_Exh3.1[Incurred Date (YYYYMM)],0))/tbl_Exh3.1[[#This Row],[Accumulated Adjustments]]</f>
        <v>#DIV/0!</v>
      </c>
      <c r="R22" s="329" t="e">
        <f>tbl_Exh3.1[[#This Row],[Allowable Rating Adjustment Normalization Factor]]*tbl_Exh3.1[[#This Row],[Predictive Ultimate Allowed EHB Claims PMPM]]</f>
        <v>#DIV/0!</v>
      </c>
      <c r="S22" s="330"/>
      <c r="T22" s="331"/>
      <c r="U22" s="281"/>
      <c r="V22" s="281"/>
      <c r="W22" s="281"/>
    </row>
    <row r="23" spans="1:23" s="236" customFormat="1" ht="15.75" x14ac:dyDescent="0.25">
      <c r="A23" s="237">
        <f t="shared" si="0"/>
        <v>202302</v>
      </c>
      <c r="B23" s="249"/>
      <c r="C23" s="348"/>
      <c r="D23" s="250"/>
      <c r="E23" s="351" t="e">
        <f>tbl_Exh3.1[[#This Row],[Allowed Claims 
(as of 3/31/2025)]]/tbl_Exh3.1[[#This Row],[Allowed Claims Completion factor (based on IBNP estimates)]]</f>
        <v>#DIV/0!</v>
      </c>
      <c r="F23" s="358"/>
      <c r="G23" s="358"/>
      <c r="H23" s="348"/>
      <c r="I23" s="351" t="e">
        <f>tbl_Exh3.1[[#This Row],[Ultimate Allowed Claims]]-tbl_Exh3.1[[#This Row],[One-Time Adjustment for High Claims (Non-Predictive Claims)]]-tbl_Exh3.1[[#This Row],[One-Time Adjustment for HCRP Receipts]]-tbl_Exh3.1[[#This Row],[Non-EHB Allowed Claims]]</f>
        <v>#DIV/0!</v>
      </c>
      <c r="J23" s="323" t="e">
        <f>tbl_Exh3.1[[#This Row],[Predictive Ultimate Allowed EHB Claims]]/tbl_Exh3.1[[#This Row],[Member Months]]</f>
        <v>#DIV/0!</v>
      </c>
      <c r="K23" s="240">
        <f>K22</f>
        <v>0</v>
      </c>
      <c r="L23" s="240">
        <f t="shared" ref="L23:N33" si="1">L22</f>
        <v>0</v>
      </c>
      <c r="M23" s="240">
        <f t="shared" si="1"/>
        <v>0</v>
      </c>
      <c r="N23" s="240">
        <f t="shared" si="1"/>
        <v>0</v>
      </c>
      <c r="O23" s="240">
        <f>PRODUCT(tbl_Exh3.1[[#This Row],[Morbidity Adjustment]:[Other Adjustments]])</f>
        <v>0</v>
      </c>
      <c r="P23" s="240" cm="1">
        <f t="array" ref="P23">PRODUCT(IF(VALUE(RIGHT(tbl_Exh3.1[Incurred Date (YYYYMM)],2))=VALUE(RIGHT(tbl_Exh3.1[[#This Row],[Incurred Date (YYYYMM)]],2)),IF(VALUE(LEFT(tbl_Exh3.1[Incurred Date (YYYYMM)],4))&lt;=VALUE(LEFT(tbl_Exh3.1[[#This Row],[Incurred Date (YYYYMM)]],4)),tbl_Exh3.1[Combined Adjustment],1),1))</f>
        <v>0</v>
      </c>
      <c r="Q23" s="240" t="e">
        <f>INDEX(tbl_Exh3.1[Accumulated Adjustments],MATCH(VALUE(SUBSTITUTE(tbl_Exh3.1[[#This Row],[Incurred Date (YYYYMM)]],LEFT(tbl_Exh3.1[[#This Row],[Incurred Date (YYYYMM)]],4),ExperYear)),tbl_Exh3.1[Incurred Date (YYYYMM)],0))/tbl_Exh3.1[[#This Row],[Accumulated Adjustments]]</f>
        <v>#DIV/0!</v>
      </c>
      <c r="R23" s="241" t="e">
        <f>tbl_Exh3.1[[#This Row],[Allowable Rating Adjustment Normalization Factor]]*tbl_Exh3.1[[#This Row],[Predictive Ultimate Allowed EHB Claims PMPM]]</f>
        <v>#DIV/0!</v>
      </c>
      <c r="S23" s="242"/>
      <c r="T23" s="243"/>
      <c r="U23" s="281"/>
      <c r="V23" s="281"/>
      <c r="W23" s="281"/>
    </row>
    <row r="24" spans="1:23" s="236" customFormat="1" ht="15.75" x14ac:dyDescent="0.25">
      <c r="A24" s="237">
        <f t="shared" si="0"/>
        <v>202303</v>
      </c>
      <c r="B24" s="249"/>
      <c r="C24" s="348"/>
      <c r="D24" s="250"/>
      <c r="E24" s="351" t="e">
        <f>tbl_Exh3.1[[#This Row],[Allowed Claims 
(as of 3/31/2025)]]/tbl_Exh3.1[[#This Row],[Allowed Claims Completion factor (based on IBNP estimates)]]</f>
        <v>#DIV/0!</v>
      </c>
      <c r="F24" s="358"/>
      <c r="G24" s="358"/>
      <c r="H24" s="348"/>
      <c r="I24" s="351" t="e">
        <f>tbl_Exh3.1[[#This Row],[Ultimate Allowed Claims]]-tbl_Exh3.1[[#This Row],[One-Time Adjustment for High Claims (Non-Predictive Claims)]]-tbl_Exh3.1[[#This Row],[One-Time Adjustment for HCRP Receipts]]-tbl_Exh3.1[[#This Row],[Non-EHB Allowed Claims]]</f>
        <v>#DIV/0!</v>
      </c>
      <c r="J24" s="323" t="e">
        <f>tbl_Exh3.1[[#This Row],[Predictive Ultimate Allowed EHB Claims]]/tbl_Exh3.1[[#This Row],[Member Months]]</f>
        <v>#DIV/0!</v>
      </c>
      <c r="K24" s="240">
        <f t="shared" ref="K24:K33" si="2">K23</f>
        <v>0</v>
      </c>
      <c r="L24" s="240">
        <f t="shared" si="1"/>
        <v>0</v>
      </c>
      <c r="M24" s="240">
        <f t="shared" si="1"/>
        <v>0</v>
      </c>
      <c r="N24" s="240">
        <f t="shared" si="1"/>
        <v>0</v>
      </c>
      <c r="O24" s="240">
        <f>PRODUCT(tbl_Exh3.1[[#This Row],[Morbidity Adjustment]:[Other Adjustments]])</f>
        <v>0</v>
      </c>
      <c r="P24" s="240" cm="1">
        <f t="array" ref="P24">PRODUCT(IF(VALUE(RIGHT(tbl_Exh3.1[Incurred Date (YYYYMM)],2))=VALUE(RIGHT(tbl_Exh3.1[[#This Row],[Incurred Date (YYYYMM)]],2)),IF(VALUE(LEFT(tbl_Exh3.1[Incurred Date (YYYYMM)],4))&lt;=VALUE(LEFT(tbl_Exh3.1[[#This Row],[Incurred Date (YYYYMM)]],4)),tbl_Exh3.1[Combined Adjustment],1),1))</f>
        <v>0</v>
      </c>
      <c r="Q24" s="240" t="e">
        <f>INDEX(tbl_Exh3.1[Accumulated Adjustments],MATCH(VALUE(SUBSTITUTE(tbl_Exh3.1[[#This Row],[Incurred Date (YYYYMM)]],LEFT(tbl_Exh3.1[[#This Row],[Incurred Date (YYYYMM)]],4),ExperYear)),tbl_Exh3.1[Incurred Date (YYYYMM)],0))/tbl_Exh3.1[[#This Row],[Accumulated Adjustments]]</f>
        <v>#DIV/0!</v>
      </c>
      <c r="R24" s="241" t="e">
        <f>tbl_Exh3.1[[#This Row],[Allowable Rating Adjustment Normalization Factor]]*tbl_Exh3.1[[#This Row],[Predictive Ultimate Allowed EHB Claims PMPM]]</f>
        <v>#DIV/0!</v>
      </c>
      <c r="S24" s="242"/>
      <c r="T24" s="243"/>
      <c r="U24" s="281"/>
      <c r="V24" s="281"/>
      <c r="W24" s="281"/>
    </row>
    <row r="25" spans="1:23" s="236" customFormat="1" ht="15.75" x14ac:dyDescent="0.25">
      <c r="A25" s="237">
        <f t="shared" si="0"/>
        <v>202304</v>
      </c>
      <c r="B25" s="249"/>
      <c r="C25" s="348"/>
      <c r="D25" s="250"/>
      <c r="E25" s="351" t="e">
        <f>tbl_Exh3.1[[#This Row],[Allowed Claims 
(as of 3/31/2025)]]/tbl_Exh3.1[[#This Row],[Allowed Claims Completion factor (based on IBNP estimates)]]</f>
        <v>#DIV/0!</v>
      </c>
      <c r="F25" s="358"/>
      <c r="G25" s="358"/>
      <c r="H25" s="348"/>
      <c r="I25" s="351" t="e">
        <f>tbl_Exh3.1[[#This Row],[Ultimate Allowed Claims]]-tbl_Exh3.1[[#This Row],[One-Time Adjustment for High Claims (Non-Predictive Claims)]]-tbl_Exh3.1[[#This Row],[One-Time Adjustment for HCRP Receipts]]-tbl_Exh3.1[[#This Row],[Non-EHB Allowed Claims]]</f>
        <v>#DIV/0!</v>
      </c>
      <c r="J25" s="323" t="e">
        <f>tbl_Exh3.1[[#This Row],[Predictive Ultimate Allowed EHB Claims]]/tbl_Exh3.1[[#This Row],[Member Months]]</f>
        <v>#DIV/0!</v>
      </c>
      <c r="K25" s="240">
        <f t="shared" si="2"/>
        <v>0</v>
      </c>
      <c r="L25" s="240">
        <f t="shared" si="1"/>
        <v>0</v>
      </c>
      <c r="M25" s="240">
        <f t="shared" si="1"/>
        <v>0</v>
      </c>
      <c r="N25" s="240">
        <f t="shared" si="1"/>
        <v>0</v>
      </c>
      <c r="O25" s="240">
        <f>PRODUCT(tbl_Exh3.1[[#This Row],[Morbidity Adjustment]:[Other Adjustments]])</f>
        <v>0</v>
      </c>
      <c r="P25" s="240" cm="1">
        <f t="array" ref="P25">PRODUCT(IF(VALUE(RIGHT(tbl_Exh3.1[Incurred Date (YYYYMM)],2))=VALUE(RIGHT(tbl_Exh3.1[[#This Row],[Incurred Date (YYYYMM)]],2)),IF(VALUE(LEFT(tbl_Exh3.1[Incurred Date (YYYYMM)],4))&lt;=VALUE(LEFT(tbl_Exh3.1[[#This Row],[Incurred Date (YYYYMM)]],4)),tbl_Exh3.1[Combined Adjustment],1),1))</f>
        <v>0</v>
      </c>
      <c r="Q25" s="240" t="e">
        <f>INDEX(tbl_Exh3.1[Accumulated Adjustments],MATCH(VALUE(SUBSTITUTE(tbl_Exh3.1[[#This Row],[Incurred Date (YYYYMM)]],LEFT(tbl_Exh3.1[[#This Row],[Incurred Date (YYYYMM)]],4),ExperYear)),tbl_Exh3.1[Incurred Date (YYYYMM)],0))/tbl_Exh3.1[[#This Row],[Accumulated Adjustments]]</f>
        <v>#DIV/0!</v>
      </c>
      <c r="R25" s="241" t="e">
        <f>tbl_Exh3.1[[#This Row],[Allowable Rating Adjustment Normalization Factor]]*tbl_Exh3.1[[#This Row],[Predictive Ultimate Allowed EHB Claims PMPM]]</f>
        <v>#DIV/0!</v>
      </c>
      <c r="S25" s="242"/>
      <c r="T25" s="243"/>
      <c r="U25" s="281"/>
      <c r="V25" s="281"/>
      <c r="W25" s="281"/>
    </row>
    <row r="26" spans="1:23" s="236" customFormat="1" ht="15.75" x14ac:dyDescent="0.25">
      <c r="A26" s="237">
        <f t="shared" si="0"/>
        <v>202305</v>
      </c>
      <c r="B26" s="249"/>
      <c r="C26" s="348"/>
      <c r="D26" s="250"/>
      <c r="E26" s="351" t="e">
        <f>tbl_Exh3.1[[#This Row],[Allowed Claims 
(as of 3/31/2025)]]/tbl_Exh3.1[[#This Row],[Allowed Claims Completion factor (based on IBNP estimates)]]</f>
        <v>#DIV/0!</v>
      </c>
      <c r="F26" s="358"/>
      <c r="G26" s="358"/>
      <c r="H26" s="348"/>
      <c r="I26" s="351" t="e">
        <f>tbl_Exh3.1[[#This Row],[Ultimate Allowed Claims]]-tbl_Exh3.1[[#This Row],[One-Time Adjustment for High Claims (Non-Predictive Claims)]]-tbl_Exh3.1[[#This Row],[One-Time Adjustment for HCRP Receipts]]-tbl_Exh3.1[[#This Row],[Non-EHB Allowed Claims]]</f>
        <v>#DIV/0!</v>
      </c>
      <c r="J26" s="323" t="e">
        <f>tbl_Exh3.1[[#This Row],[Predictive Ultimate Allowed EHB Claims]]/tbl_Exh3.1[[#This Row],[Member Months]]</f>
        <v>#DIV/0!</v>
      </c>
      <c r="K26" s="240">
        <f t="shared" si="2"/>
        <v>0</v>
      </c>
      <c r="L26" s="240">
        <f t="shared" si="1"/>
        <v>0</v>
      </c>
      <c r="M26" s="240">
        <f t="shared" si="1"/>
        <v>0</v>
      </c>
      <c r="N26" s="240">
        <f t="shared" si="1"/>
        <v>0</v>
      </c>
      <c r="O26" s="240">
        <f>PRODUCT(tbl_Exh3.1[[#This Row],[Morbidity Adjustment]:[Other Adjustments]])</f>
        <v>0</v>
      </c>
      <c r="P26" s="240" cm="1">
        <f t="array" ref="P26">PRODUCT(IF(VALUE(RIGHT(tbl_Exh3.1[Incurred Date (YYYYMM)],2))=VALUE(RIGHT(tbl_Exh3.1[[#This Row],[Incurred Date (YYYYMM)]],2)),IF(VALUE(LEFT(tbl_Exh3.1[Incurred Date (YYYYMM)],4))&lt;=VALUE(LEFT(tbl_Exh3.1[[#This Row],[Incurred Date (YYYYMM)]],4)),tbl_Exh3.1[Combined Adjustment],1),1))</f>
        <v>0</v>
      </c>
      <c r="Q26" s="240" t="e">
        <f>INDEX(tbl_Exh3.1[Accumulated Adjustments],MATCH(VALUE(SUBSTITUTE(tbl_Exh3.1[[#This Row],[Incurred Date (YYYYMM)]],LEFT(tbl_Exh3.1[[#This Row],[Incurred Date (YYYYMM)]],4),ExperYear)),tbl_Exh3.1[Incurred Date (YYYYMM)],0))/tbl_Exh3.1[[#This Row],[Accumulated Adjustments]]</f>
        <v>#DIV/0!</v>
      </c>
      <c r="R26" s="241" t="e">
        <f>tbl_Exh3.1[[#This Row],[Allowable Rating Adjustment Normalization Factor]]*tbl_Exh3.1[[#This Row],[Predictive Ultimate Allowed EHB Claims PMPM]]</f>
        <v>#DIV/0!</v>
      </c>
      <c r="S26" s="242"/>
      <c r="T26" s="243"/>
      <c r="U26" s="281"/>
      <c r="V26" s="281"/>
      <c r="W26" s="281"/>
    </row>
    <row r="27" spans="1:23" s="236" customFormat="1" ht="15.75" x14ac:dyDescent="0.25">
      <c r="A27" s="237">
        <f t="shared" si="0"/>
        <v>202306</v>
      </c>
      <c r="B27" s="249"/>
      <c r="C27" s="348"/>
      <c r="D27" s="250"/>
      <c r="E27" s="351" t="e">
        <f>tbl_Exh3.1[[#This Row],[Allowed Claims 
(as of 3/31/2025)]]/tbl_Exh3.1[[#This Row],[Allowed Claims Completion factor (based on IBNP estimates)]]</f>
        <v>#DIV/0!</v>
      </c>
      <c r="F27" s="358"/>
      <c r="G27" s="358"/>
      <c r="H27" s="348"/>
      <c r="I27" s="351" t="e">
        <f>tbl_Exh3.1[[#This Row],[Ultimate Allowed Claims]]-tbl_Exh3.1[[#This Row],[One-Time Adjustment for High Claims (Non-Predictive Claims)]]-tbl_Exh3.1[[#This Row],[One-Time Adjustment for HCRP Receipts]]-tbl_Exh3.1[[#This Row],[Non-EHB Allowed Claims]]</f>
        <v>#DIV/0!</v>
      </c>
      <c r="J27" s="323" t="e">
        <f>tbl_Exh3.1[[#This Row],[Predictive Ultimate Allowed EHB Claims]]/tbl_Exh3.1[[#This Row],[Member Months]]</f>
        <v>#DIV/0!</v>
      </c>
      <c r="K27" s="240">
        <f t="shared" si="2"/>
        <v>0</v>
      </c>
      <c r="L27" s="240">
        <f t="shared" si="1"/>
        <v>0</v>
      </c>
      <c r="M27" s="240">
        <f t="shared" si="1"/>
        <v>0</v>
      </c>
      <c r="N27" s="240">
        <f t="shared" si="1"/>
        <v>0</v>
      </c>
      <c r="O27" s="240">
        <f>PRODUCT(tbl_Exh3.1[[#This Row],[Morbidity Adjustment]:[Other Adjustments]])</f>
        <v>0</v>
      </c>
      <c r="P27" s="240" cm="1">
        <f t="array" ref="P27">PRODUCT(IF(VALUE(RIGHT(tbl_Exh3.1[Incurred Date (YYYYMM)],2))=VALUE(RIGHT(tbl_Exh3.1[[#This Row],[Incurred Date (YYYYMM)]],2)),IF(VALUE(LEFT(tbl_Exh3.1[Incurred Date (YYYYMM)],4))&lt;=VALUE(LEFT(tbl_Exh3.1[[#This Row],[Incurred Date (YYYYMM)]],4)),tbl_Exh3.1[Combined Adjustment],1),1))</f>
        <v>0</v>
      </c>
      <c r="Q27" s="240" t="e">
        <f>INDEX(tbl_Exh3.1[Accumulated Adjustments],MATCH(VALUE(SUBSTITUTE(tbl_Exh3.1[[#This Row],[Incurred Date (YYYYMM)]],LEFT(tbl_Exh3.1[[#This Row],[Incurred Date (YYYYMM)]],4),ExperYear)),tbl_Exh3.1[Incurred Date (YYYYMM)],0))/tbl_Exh3.1[[#This Row],[Accumulated Adjustments]]</f>
        <v>#DIV/0!</v>
      </c>
      <c r="R27" s="241" t="e">
        <f>tbl_Exh3.1[[#This Row],[Allowable Rating Adjustment Normalization Factor]]*tbl_Exh3.1[[#This Row],[Predictive Ultimate Allowed EHB Claims PMPM]]</f>
        <v>#DIV/0!</v>
      </c>
      <c r="S27" s="242"/>
      <c r="T27" s="243"/>
      <c r="U27" s="281"/>
      <c r="V27" s="281"/>
      <c r="W27" s="281"/>
    </row>
    <row r="28" spans="1:23" s="236" customFormat="1" ht="15.75" x14ac:dyDescent="0.25">
      <c r="A28" s="237">
        <f t="shared" si="0"/>
        <v>202307</v>
      </c>
      <c r="B28" s="249"/>
      <c r="C28" s="348"/>
      <c r="D28" s="250"/>
      <c r="E28" s="351" t="e">
        <f>tbl_Exh3.1[[#This Row],[Allowed Claims 
(as of 3/31/2025)]]/tbl_Exh3.1[[#This Row],[Allowed Claims Completion factor (based on IBNP estimates)]]</f>
        <v>#DIV/0!</v>
      </c>
      <c r="F28" s="358"/>
      <c r="G28" s="358"/>
      <c r="H28" s="348"/>
      <c r="I28" s="351" t="e">
        <f>tbl_Exh3.1[[#This Row],[Ultimate Allowed Claims]]-tbl_Exh3.1[[#This Row],[One-Time Adjustment for High Claims (Non-Predictive Claims)]]-tbl_Exh3.1[[#This Row],[One-Time Adjustment for HCRP Receipts]]-tbl_Exh3.1[[#This Row],[Non-EHB Allowed Claims]]</f>
        <v>#DIV/0!</v>
      </c>
      <c r="J28" s="323" t="e">
        <f>tbl_Exh3.1[[#This Row],[Predictive Ultimate Allowed EHB Claims]]/tbl_Exh3.1[[#This Row],[Member Months]]</f>
        <v>#DIV/0!</v>
      </c>
      <c r="K28" s="240">
        <f t="shared" si="2"/>
        <v>0</v>
      </c>
      <c r="L28" s="240">
        <f t="shared" si="1"/>
        <v>0</v>
      </c>
      <c r="M28" s="240">
        <f t="shared" si="1"/>
        <v>0</v>
      </c>
      <c r="N28" s="240">
        <f t="shared" si="1"/>
        <v>0</v>
      </c>
      <c r="O28" s="240">
        <f>PRODUCT(tbl_Exh3.1[[#This Row],[Morbidity Adjustment]:[Other Adjustments]])</f>
        <v>0</v>
      </c>
      <c r="P28" s="240" cm="1">
        <f t="array" ref="P28">PRODUCT(IF(VALUE(RIGHT(tbl_Exh3.1[Incurred Date (YYYYMM)],2))=VALUE(RIGHT(tbl_Exh3.1[[#This Row],[Incurred Date (YYYYMM)]],2)),IF(VALUE(LEFT(tbl_Exh3.1[Incurred Date (YYYYMM)],4))&lt;=VALUE(LEFT(tbl_Exh3.1[[#This Row],[Incurred Date (YYYYMM)]],4)),tbl_Exh3.1[Combined Adjustment],1),1))</f>
        <v>0</v>
      </c>
      <c r="Q28" s="240" t="e">
        <f>INDEX(tbl_Exh3.1[Accumulated Adjustments],MATCH(VALUE(SUBSTITUTE(tbl_Exh3.1[[#This Row],[Incurred Date (YYYYMM)]],LEFT(tbl_Exh3.1[[#This Row],[Incurred Date (YYYYMM)]],4),ExperYear)),tbl_Exh3.1[Incurred Date (YYYYMM)],0))/tbl_Exh3.1[[#This Row],[Accumulated Adjustments]]</f>
        <v>#DIV/0!</v>
      </c>
      <c r="R28" s="241" t="e">
        <f>tbl_Exh3.1[[#This Row],[Allowable Rating Adjustment Normalization Factor]]*tbl_Exh3.1[[#This Row],[Predictive Ultimate Allowed EHB Claims PMPM]]</f>
        <v>#DIV/0!</v>
      </c>
      <c r="S28" s="242"/>
      <c r="T28" s="243"/>
      <c r="U28" s="281"/>
      <c r="V28" s="281"/>
      <c r="W28" s="281"/>
    </row>
    <row r="29" spans="1:23" s="236" customFormat="1" ht="15.75" x14ac:dyDescent="0.25">
      <c r="A29" s="237">
        <f t="shared" si="0"/>
        <v>202308</v>
      </c>
      <c r="B29" s="249"/>
      <c r="C29" s="348"/>
      <c r="D29" s="250"/>
      <c r="E29" s="351" t="e">
        <f>tbl_Exh3.1[[#This Row],[Allowed Claims 
(as of 3/31/2025)]]/tbl_Exh3.1[[#This Row],[Allowed Claims Completion factor (based on IBNP estimates)]]</f>
        <v>#DIV/0!</v>
      </c>
      <c r="F29" s="358"/>
      <c r="G29" s="358"/>
      <c r="H29" s="348"/>
      <c r="I29" s="351" t="e">
        <f>tbl_Exh3.1[[#This Row],[Ultimate Allowed Claims]]-tbl_Exh3.1[[#This Row],[One-Time Adjustment for High Claims (Non-Predictive Claims)]]-tbl_Exh3.1[[#This Row],[One-Time Adjustment for HCRP Receipts]]-tbl_Exh3.1[[#This Row],[Non-EHB Allowed Claims]]</f>
        <v>#DIV/0!</v>
      </c>
      <c r="J29" s="323" t="e">
        <f>tbl_Exh3.1[[#This Row],[Predictive Ultimate Allowed EHB Claims]]/tbl_Exh3.1[[#This Row],[Member Months]]</f>
        <v>#DIV/0!</v>
      </c>
      <c r="K29" s="240">
        <f t="shared" si="2"/>
        <v>0</v>
      </c>
      <c r="L29" s="240">
        <f t="shared" si="1"/>
        <v>0</v>
      </c>
      <c r="M29" s="240">
        <f t="shared" si="1"/>
        <v>0</v>
      </c>
      <c r="N29" s="240">
        <f t="shared" si="1"/>
        <v>0</v>
      </c>
      <c r="O29" s="240">
        <f>PRODUCT(tbl_Exh3.1[[#This Row],[Morbidity Adjustment]:[Other Adjustments]])</f>
        <v>0</v>
      </c>
      <c r="P29" s="240" cm="1">
        <f t="array" ref="P29">PRODUCT(IF(VALUE(RIGHT(tbl_Exh3.1[Incurred Date (YYYYMM)],2))=VALUE(RIGHT(tbl_Exh3.1[[#This Row],[Incurred Date (YYYYMM)]],2)),IF(VALUE(LEFT(tbl_Exh3.1[Incurred Date (YYYYMM)],4))&lt;=VALUE(LEFT(tbl_Exh3.1[[#This Row],[Incurred Date (YYYYMM)]],4)),tbl_Exh3.1[Combined Adjustment],1),1))</f>
        <v>0</v>
      </c>
      <c r="Q29" s="240" t="e">
        <f>INDEX(tbl_Exh3.1[Accumulated Adjustments],MATCH(VALUE(SUBSTITUTE(tbl_Exh3.1[[#This Row],[Incurred Date (YYYYMM)]],LEFT(tbl_Exh3.1[[#This Row],[Incurred Date (YYYYMM)]],4),ExperYear)),tbl_Exh3.1[Incurred Date (YYYYMM)],0))/tbl_Exh3.1[[#This Row],[Accumulated Adjustments]]</f>
        <v>#DIV/0!</v>
      </c>
      <c r="R29" s="241" t="e">
        <f>tbl_Exh3.1[[#This Row],[Allowable Rating Adjustment Normalization Factor]]*tbl_Exh3.1[[#This Row],[Predictive Ultimate Allowed EHB Claims PMPM]]</f>
        <v>#DIV/0!</v>
      </c>
      <c r="S29" s="242"/>
      <c r="T29" s="243"/>
      <c r="U29" s="281"/>
      <c r="V29" s="281"/>
      <c r="W29" s="281"/>
    </row>
    <row r="30" spans="1:23" s="236" customFormat="1" ht="15.75" x14ac:dyDescent="0.25">
      <c r="A30" s="237">
        <f t="shared" si="0"/>
        <v>202309</v>
      </c>
      <c r="B30" s="249"/>
      <c r="C30" s="348"/>
      <c r="D30" s="250"/>
      <c r="E30" s="351" t="e">
        <f>tbl_Exh3.1[[#This Row],[Allowed Claims 
(as of 3/31/2025)]]/tbl_Exh3.1[[#This Row],[Allowed Claims Completion factor (based on IBNP estimates)]]</f>
        <v>#DIV/0!</v>
      </c>
      <c r="F30" s="358"/>
      <c r="G30" s="358"/>
      <c r="H30" s="348"/>
      <c r="I30" s="351" t="e">
        <f>tbl_Exh3.1[[#This Row],[Ultimate Allowed Claims]]-tbl_Exh3.1[[#This Row],[One-Time Adjustment for High Claims (Non-Predictive Claims)]]-tbl_Exh3.1[[#This Row],[One-Time Adjustment for HCRP Receipts]]-tbl_Exh3.1[[#This Row],[Non-EHB Allowed Claims]]</f>
        <v>#DIV/0!</v>
      </c>
      <c r="J30" s="323" t="e">
        <f>tbl_Exh3.1[[#This Row],[Predictive Ultimate Allowed EHB Claims]]/tbl_Exh3.1[[#This Row],[Member Months]]</f>
        <v>#DIV/0!</v>
      </c>
      <c r="K30" s="240">
        <f t="shared" si="2"/>
        <v>0</v>
      </c>
      <c r="L30" s="240">
        <f t="shared" si="1"/>
        <v>0</v>
      </c>
      <c r="M30" s="240">
        <f t="shared" si="1"/>
        <v>0</v>
      </c>
      <c r="N30" s="240">
        <f t="shared" si="1"/>
        <v>0</v>
      </c>
      <c r="O30" s="240">
        <f>PRODUCT(tbl_Exh3.1[[#This Row],[Morbidity Adjustment]:[Other Adjustments]])</f>
        <v>0</v>
      </c>
      <c r="P30" s="240" cm="1">
        <f t="array" ref="P30">PRODUCT(IF(VALUE(RIGHT(tbl_Exh3.1[Incurred Date (YYYYMM)],2))=VALUE(RIGHT(tbl_Exh3.1[[#This Row],[Incurred Date (YYYYMM)]],2)),IF(VALUE(LEFT(tbl_Exh3.1[Incurred Date (YYYYMM)],4))&lt;=VALUE(LEFT(tbl_Exh3.1[[#This Row],[Incurred Date (YYYYMM)]],4)),tbl_Exh3.1[Combined Adjustment],1),1))</f>
        <v>0</v>
      </c>
      <c r="Q30" s="240" t="e">
        <f>INDEX(tbl_Exh3.1[Accumulated Adjustments],MATCH(VALUE(SUBSTITUTE(tbl_Exh3.1[[#This Row],[Incurred Date (YYYYMM)]],LEFT(tbl_Exh3.1[[#This Row],[Incurred Date (YYYYMM)]],4),ExperYear)),tbl_Exh3.1[Incurred Date (YYYYMM)],0))/tbl_Exh3.1[[#This Row],[Accumulated Adjustments]]</f>
        <v>#DIV/0!</v>
      </c>
      <c r="R30" s="241" t="e">
        <f>tbl_Exh3.1[[#This Row],[Allowable Rating Adjustment Normalization Factor]]*tbl_Exh3.1[[#This Row],[Predictive Ultimate Allowed EHB Claims PMPM]]</f>
        <v>#DIV/0!</v>
      </c>
      <c r="S30" s="242"/>
      <c r="T30" s="243"/>
      <c r="U30" s="281"/>
      <c r="V30" s="281"/>
      <c r="W30" s="281"/>
    </row>
    <row r="31" spans="1:23" s="236" customFormat="1" ht="15.75" x14ac:dyDescent="0.25">
      <c r="A31" s="237">
        <f t="shared" si="0"/>
        <v>202310</v>
      </c>
      <c r="B31" s="249"/>
      <c r="C31" s="348"/>
      <c r="D31" s="250"/>
      <c r="E31" s="351" t="e">
        <f>tbl_Exh3.1[[#This Row],[Allowed Claims 
(as of 3/31/2025)]]/tbl_Exh3.1[[#This Row],[Allowed Claims Completion factor (based on IBNP estimates)]]</f>
        <v>#DIV/0!</v>
      </c>
      <c r="F31" s="358"/>
      <c r="G31" s="358"/>
      <c r="H31" s="348"/>
      <c r="I31" s="351" t="e">
        <f>tbl_Exh3.1[[#This Row],[Ultimate Allowed Claims]]-tbl_Exh3.1[[#This Row],[One-Time Adjustment for High Claims (Non-Predictive Claims)]]-tbl_Exh3.1[[#This Row],[One-Time Adjustment for HCRP Receipts]]-tbl_Exh3.1[[#This Row],[Non-EHB Allowed Claims]]</f>
        <v>#DIV/0!</v>
      </c>
      <c r="J31" s="323" t="e">
        <f>tbl_Exh3.1[[#This Row],[Predictive Ultimate Allowed EHB Claims]]/tbl_Exh3.1[[#This Row],[Member Months]]</f>
        <v>#DIV/0!</v>
      </c>
      <c r="K31" s="240">
        <f t="shared" si="2"/>
        <v>0</v>
      </c>
      <c r="L31" s="240">
        <f t="shared" si="1"/>
        <v>0</v>
      </c>
      <c r="M31" s="240">
        <f t="shared" si="1"/>
        <v>0</v>
      </c>
      <c r="N31" s="240">
        <f t="shared" si="1"/>
        <v>0</v>
      </c>
      <c r="O31" s="240">
        <f>PRODUCT(tbl_Exh3.1[[#This Row],[Morbidity Adjustment]:[Other Adjustments]])</f>
        <v>0</v>
      </c>
      <c r="P31" s="240" cm="1">
        <f t="array" ref="P31">PRODUCT(IF(VALUE(RIGHT(tbl_Exh3.1[Incurred Date (YYYYMM)],2))=VALUE(RIGHT(tbl_Exh3.1[[#This Row],[Incurred Date (YYYYMM)]],2)),IF(VALUE(LEFT(tbl_Exh3.1[Incurred Date (YYYYMM)],4))&lt;=VALUE(LEFT(tbl_Exh3.1[[#This Row],[Incurred Date (YYYYMM)]],4)),tbl_Exh3.1[Combined Adjustment],1),1))</f>
        <v>0</v>
      </c>
      <c r="Q31" s="240" t="e">
        <f>INDEX(tbl_Exh3.1[Accumulated Adjustments],MATCH(VALUE(SUBSTITUTE(tbl_Exh3.1[[#This Row],[Incurred Date (YYYYMM)]],LEFT(tbl_Exh3.1[[#This Row],[Incurred Date (YYYYMM)]],4),ExperYear)),tbl_Exh3.1[Incurred Date (YYYYMM)],0))/tbl_Exh3.1[[#This Row],[Accumulated Adjustments]]</f>
        <v>#DIV/0!</v>
      </c>
      <c r="R31" s="241" t="e">
        <f>tbl_Exh3.1[[#This Row],[Allowable Rating Adjustment Normalization Factor]]*tbl_Exh3.1[[#This Row],[Predictive Ultimate Allowed EHB Claims PMPM]]</f>
        <v>#DIV/0!</v>
      </c>
      <c r="S31" s="242"/>
      <c r="T31" s="243"/>
      <c r="U31" s="281"/>
      <c r="V31" s="281"/>
      <c r="W31" s="281"/>
    </row>
    <row r="32" spans="1:23" s="236" customFormat="1" ht="15.75" x14ac:dyDescent="0.25">
      <c r="A32" s="237">
        <f t="shared" si="0"/>
        <v>202311</v>
      </c>
      <c r="B32" s="249"/>
      <c r="C32" s="348"/>
      <c r="D32" s="250"/>
      <c r="E32" s="351" t="e">
        <f>tbl_Exh3.1[[#This Row],[Allowed Claims 
(as of 3/31/2025)]]/tbl_Exh3.1[[#This Row],[Allowed Claims Completion factor (based on IBNP estimates)]]</f>
        <v>#DIV/0!</v>
      </c>
      <c r="F32" s="358"/>
      <c r="G32" s="358"/>
      <c r="H32" s="348"/>
      <c r="I32" s="351" t="e">
        <f>tbl_Exh3.1[[#This Row],[Ultimate Allowed Claims]]-tbl_Exh3.1[[#This Row],[One-Time Adjustment for High Claims (Non-Predictive Claims)]]-tbl_Exh3.1[[#This Row],[One-Time Adjustment for HCRP Receipts]]-tbl_Exh3.1[[#This Row],[Non-EHB Allowed Claims]]</f>
        <v>#DIV/0!</v>
      </c>
      <c r="J32" s="323" t="e">
        <f>tbl_Exh3.1[[#This Row],[Predictive Ultimate Allowed EHB Claims]]/tbl_Exh3.1[[#This Row],[Member Months]]</f>
        <v>#DIV/0!</v>
      </c>
      <c r="K32" s="240">
        <f t="shared" si="2"/>
        <v>0</v>
      </c>
      <c r="L32" s="240">
        <f t="shared" si="1"/>
        <v>0</v>
      </c>
      <c r="M32" s="240">
        <f t="shared" si="1"/>
        <v>0</v>
      </c>
      <c r="N32" s="240">
        <f t="shared" si="1"/>
        <v>0</v>
      </c>
      <c r="O32" s="240">
        <f>PRODUCT(tbl_Exh3.1[[#This Row],[Morbidity Adjustment]:[Other Adjustments]])</f>
        <v>0</v>
      </c>
      <c r="P32" s="240" cm="1">
        <f t="array" ref="P32">PRODUCT(IF(VALUE(RIGHT(tbl_Exh3.1[Incurred Date (YYYYMM)],2))=VALUE(RIGHT(tbl_Exh3.1[[#This Row],[Incurred Date (YYYYMM)]],2)),IF(VALUE(LEFT(tbl_Exh3.1[Incurred Date (YYYYMM)],4))&lt;=VALUE(LEFT(tbl_Exh3.1[[#This Row],[Incurred Date (YYYYMM)]],4)),tbl_Exh3.1[Combined Adjustment],1),1))</f>
        <v>0</v>
      </c>
      <c r="Q32" s="240" t="e">
        <f>INDEX(tbl_Exh3.1[Accumulated Adjustments],MATCH(VALUE(SUBSTITUTE(tbl_Exh3.1[[#This Row],[Incurred Date (YYYYMM)]],LEFT(tbl_Exh3.1[[#This Row],[Incurred Date (YYYYMM)]],4),ExperYear)),tbl_Exh3.1[Incurred Date (YYYYMM)],0))/tbl_Exh3.1[[#This Row],[Accumulated Adjustments]]</f>
        <v>#DIV/0!</v>
      </c>
      <c r="R32" s="241" t="e">
        <f>tbl_Exh3.1[[#This Row],[Allowable Rating Adjustment Normalization Factor]]*tbl_Exh3.1[[#This Row],[Predictive Ultimate Allowed EHB Claims PMPM]]</f>
        <v>#DIV/0!</v>
      </c>
      <c r="S32" s="252"/>
      <c r="T32" s="243"/>
      <c r="U32" s="281"/>
      <c r="V32" s="281"/>
      <c r="W32" s="281"/>
    </row>
    <row r="33" spans="1:23" s="236" customFormat="1" ht="16.5" thickBot="1" x14ac:dyDescent="0.3">
      <c r="A33" s="332">
        <f t="shared" si="0"/>
        <v>202312</v>
      </c>
      <c r="B33" s="343"/>
      <c r="C33" s="349"/>
      <c r="D33" s="344"/>
      <c r="E33" s="352" t="e">
        <f>tbl_Exh3.1[[#This Row],[Allowed Claims 
(as of 3/31/2025)]]/tbl_Exh3.1[[#This Row],[Allowed Claims Completion factor (based on IBNP estimates)]]</f>
        <v>#DIV/0!</v>
      </c>
      <c r="F33" s="359"/>
      <c r="G33" s="359"/>
      <c r="H33" s="349"/>
      <c r="I33" s="352" t="e">
        <f>tbl_Exh3.1[[#This Row],[Ultimate Allowed Claims]]-tbl_Exh3.1[[#This Row],[One-Time Adjustment for High Claims (Non-Predictive Claims)]]-tbl_Exh3.1[[#This Row],[One-Time Adjustment for HCRP Receipts]]-tbl_Exh3.1[[#This Row],[Non-EHB Allowed Claims]]</f>
        <v>#DIV/0!</v>
      </c>
      <c r="J33" s="335" t="e">
        <f>tbl_Exh3.1[[#This Row],[Predictive Ultimate Allowed EHB Claims]]/tbl_Exh3.1[[#This Row],[Member Months]]</f>
        <v>#DIV/0!</v>
      </c>
      <c r="K33" s="336">
        <f t="shared" si="2"/>
        <v>0</v>
      </c>
      <c r="L33" s="336">
        <f t="shared" si="1"/>
        <v>0</v>
      </c>
      <c r="M33" s="336">
        <f t="shared" si="1"/>
        <v>0</v>
      </c>
      <c r="N33" s="336">
        <f t="shared" si="1"/>
        <v>0</v>
      </c>
      <c r="O33" s="336">
        <f>PRODUCT(tbl_Exh3.1[[#This Row],[Morbidity Adjustment]:[Other Adjustments]])</f>
        <v>0</v>
      </c>
      <c r="P33" s="336" cm="1">
        <f t="array" ref="P33">PRODUCT(IF(VALUE(RIGHT(tbl_Exh3.1[Incurred Date (YYYYMM)],2))=VALUE(RIGHT(tbl_Exh3.1[[#This Row],[Incurred Date (YYYYMM)]],2)),IF(VALUE(LEFT(tbl_Exh3.1[Incurred Date (YYYYMM)],4))&lt;=VALUE(LEFT(tbl_Exh3.1[[#This Row],[Incurred Date (YYYYMM)]],4)),tbl_Exh3.1[Combined Adjustment],1),1))</f>
        <v>0</v>
      </c>
      <c r="Q33" s="336" t="e">
        <f>INDEX(tbl_Exh3.1[Accumulated Adjustments],MATCH(VALUE(SUBSTITUTE(tbl_Exh3.1[[#This Row],[Incurred Date (YYYYMM)]],LEFT(tbl_Exh3.1[[#This Row],[Incurred Date (YYYYMM)]],4),ExperYear)),tbl_Exh3.1[Incurred Date (YYYYMM)],0))/tbl_Exh3.1[[#This Row],[Accumulated Adjustments]]</f>
        <v>#DIV/0!</v>
      </c>
      <c r="R33" s="337" t="e">
        <f>tbl_Exh3.1[[#This Row],[Allowable Rating Adjustment Normalization Factor]]*tbl_Exh3.1[[#This Row],[Predictive Ultimate Allowed EHB Claims PMPM]]</f>
        <v>#DIV/0!</v>
      </c>
      <c r="S33" s="339" t="e">
        <f>(SUMPRODUCT(J22:J33,B22:B33)/SUM(B22:B33))/(SUMPRODUCT(J10:J21,B10:B21)/SUM(B10:B21))-1</f>
        <v>#DIV/0!</v>
      </c>
      <c r="T33" s="339" t="e">
        <f>(SUMPRODUCT(R22:R33,B22:B33)/SUM(B22:B33))/(SUMPRODUCT(R10:R21,B10:B21)/SUM(B10:B21))-1</f>
        <v>#DIV/0!</v>
      </c>
      <c r="U33" s="281"/>
      <c r="V33" s="281"/>
      <c r="W33" s="281"/>
    </row>
    <row r="34" spans="1:23" s="236" customFormat="1" ht="15.75" x14ac:dyDescent="0.25">
      <c r="A34" s="231">
        <f t="shared" si="0"/>
        <v>202401</v>
      </c>
      <c r="B34" s="340"/>
      <c r="C34" s="350"/>
      <c r="D34" s="341"/>
      <c r="E34" s="353" t="e">
        <f>tbl_Exh3.1[[#This Row],[Allowed Claims 
(as of 3/31/2025)]]/tbl_Exh3.1[[#This Row],[Allowed Claims Completion factor (based on IBNP estimates)]]</f>
        <v>#DIV/0!</v>
      </c>
      <c r="F34" s="360"/>
      <c r="G34" s="360"/>
      <c r="H34" s="350"/>
      <c r="I34" s="353" t="e">
        <f>tbl_Exh3.1[[#This Row],[Ultimate Allowed Claims]]-tbl_Exh3.1[[#This Row],[One-Time Adjustment for High Claims (Non-Predictive Claims)]]-tbl_Exh3.1[[#This Row],[One-Time Adjustment for HCRP Receipts]]-tbl_Exh3.1[[#This Row],[Non-EHB Allowed Claims]]</f>
        <v>#DIV/0!</v>
      </c>
      <c r="J34" s="327" t="e">
        <f>tbl_Exh3.1[[#This Row],[Predictive Ultimate Allowed EHB Claims]]/tbl_Exh3.1[[#This Row],[Member Months]]</f>
        <v>#DIV/0!</v>
      </c>
      <c r="K34" s="341"/>
      <c r="L34" s="341"/>
      <c r="M34" s="341"/>
      <c r="N34" s="341"/>
      <c r="O34" s="328">
        <f>PRODUCT(tbl_Exh3.1[[#This Row],[Morbidity Adjustment]:[Other Adjustments]])</f>
        <v>0</v>
      </c>
      <c r="P34" s="328" cm="1">
        <f t="array" ref="P34">PRODUCT(IF(VALUE(RIGHT(tbl_Exh3.1[Incurred Date (YYYYMM)],2))=VALUE(RIGHT(tbl_Exh3.1[[#This Row],[Incurred Date (YYYYMM)]],2)),IF(VALUE(LEFT(tbl_Exh3.1[Incurred Date (YYYYMM)],4))&lt;=VALUE(LEFT(tbl_Exh3.1[[#This Row],[Incurred Date (YYYYMM)]],4)),tbl_Exh3.1[Combined Adjustment],1),1))</f>
        <v>0</v>
      </c>
      <c r="Q34" s="328" t="e">
        <f>INDEX(tbl_Exh3.1[Accumulated Adjustments],MATCH(VALUE(SUBSTITUTE(tbl_Exh3.1[[#This Row],[Incurred Date (YYYYMM)]],LEFT(tbl_Exh3.1[[#This Row],[Incurred Date (YYYYMM)]],4),ExperYear)),tbl_Exh3.1[Incurred Date (YYYYMM)],0))/tbl_Exh3.1[[#This Row],[Accumulated Adjustments]]</f>
        <v>#DIV/0!</v>
      </c>
      <c r="R34" s="329" t="e">
        <f>tbl_Exh3.1[[#This Row],[Allowable Rating Adjustment Normalization Factor]]*tbl_Exh3.1[[#This Row],[Predictive Ultimate Allowed EHB Claims PMPM]]</f>
        <v>#DIV/0!</v>
      </c>
      <c r="S34" s="342" t="e">
        <f t="shared" ref="S34:S45" si="3">(SUMPRODUCT(J23:J34,B23:B34)/SUM(B23:B34))/(SUMPRODUCT(J11:J22,B11:B22)/SUM(B11:B22))-1</f>
        <v>#DIV/0!</v>
      </c>
      <c r="T34" s="342" t="e">
        <f t="shared" ref="T34:T45" si="4">(SUMPRODUCT(R23:R34,B23:B34)/SUM(B23:B34))/(SUMPRODUCT(R11:R22,B11:B22)/SUM(B11:B22))-1</f>
        <v>#DIV/0!</v>
      </c>
      <c r="U34" s="281"/>
      <c r="V34" s="281"/>
      <c r="W34" s="281"/>
    </row>
    <row r="35" spans="1:23" s="236" customFormat="1" ht="15.75" x14ac:dyDescent="0.25">
      <c r="A35" s="237">
        <f t="shared" si="0"/>
        <v>202402</v>
      </c>
      <c r="B35" s="238"/>
      <c r="C35" s="345"/>
      <c r="D35" s="239"/>
      <c r="E35" s="351" t="e">
        <f>tbl_Exh3.1[[#This Row],[Allowed Claims 
(as of 3/31/2025)]]/tbl_Exh3.1[[#This Row],[Allowed Claims Completion factor (based on IBNP estimates)]]</f>
        <v>#DIV/0!</v>
      </c>
      <c r="F35" s="355"/>
      <c r="G35" s="355"/>
      <c r="H35" s="345"/>
      <c r="I35" s="351" t="e">
        <f>tbl_Exh3.1[[#This Row],[Ultimate Allowed Claims]]-tbl_Exh3.1[[#This Row],[One-Time Adjustment for High Claims (Non-Predictive Claims)]]-tbl_Exh3.1[[#This Row],[One-Time Adjustment for HCRP Receipts]]-tbl_Exh3.1[[#This Row],[Non-EHB Allowed Claims]]</f>
        <v>#DIV/0!</v>
      </c>
      <c r="J35" s="323" t="e">
        <f>tbl_Exh3.1[[#This Row],[Predictive Ultimate Allowed EHB Claims]]/tbl_Exh3.1[[#This Row],[Member Months]]</f>
        <v>#DIV/0!</v>
      </c>
      <c r="K35" s="240">
        <f>K34</f>
        <v>0</v>
      </c>
      <c r="L35" s="240">
        <f t="shared" ref="L35:N45" si="5">L34</f>
        <v>0</v>
      </c>
      <c r="M35" s="240">
        <f t="shared" si="5"/>
        <v>0</v>
      </c>
      <c r="N35" s="240">
        <f t="shared" si="5"/>
        <v>0</v>
      </c>
      <c r="O35" s="240">
        <f>PRODUCT(tbl_Exh3.1[[#This Row],[Morbidity Adjustment]:[Other Adjustments]])</f>
        <v>0</v>
      </c>
      <c r="P35" s="240" cm="1">
        <f t="array" ref="P35">PRODUCT(IF(VALUE(RIGHT(tbl_Exh3.1[Incurred Date (YYYYMM)],2))=VALUE(RIGHT(tbl_Exh3.1[[#This Row],[Incurred Date (YYYYMM)]],2)),IF(VALUE(LEFT(tbl_Exh3.1[Incurred Date (YYYYMM)],4))&lt;=VALUE(LEFT(tbl_Exh3.1[[#This Row],[Incurred Date (YYYYMM)]],4)),tbl_Exh3.1[Combined Adjustment],1),1))</f>
        <v>0</v>
      </c>
      <c r="Q35" s="240" t="e">
        <f>INDEX(tbl_Exh3.1[Accumulated Adjustments],MATCH(VALUE(SUBSTITUTE(tbl_Exh3.1[[#This Row],[Incurred Date (YYYYMM)]],LEFT(tbl_Exh3.1[[#This Row],[Incurred Date (YYYYMM)]],4),ExperYear)),tbl_Exh3.1[Incurred Date (YYYYMM)],0))/tbl_Exh3.1[[#This Row],[Accumulated Adjustments]]</f>
        <v>#DIV/0!</v>
      </c>
      <c r="R35" s="241" t="e">
        <f>tbl_Exh3.1[[#This Row],[Allowable Rating Adjustment Normalization Factor]]*tbl_Exh3.1[[#This Row],[Predictive Ultimate Allowed EHB Claims PMPM]]</f>
        <v>#DIV/0!</v>
      </c>
      <c r="S35" s="252" t="e">
        <f t="shared" si="3"/>
        <v>#DIV/0!</v>
      </c>
      <c r="T35" s="252" t="e">
        <f t="shared" si="4"/>
        <v>#DIV/0!</v>
      </c>
      <c r="U35" s="281"/>
      <c r="V35" s="281"/>
      <c r="W35" s="281"/>
    </row>
    <row r="36" spans="1:23" s="236" customFormat="1" ht="15.75" x14ac:dyDescent="0.25">
      <c r="A36" s="237">
        <f t="shared" si="0"/>
        <v>202403</v>
      </c>
      <c r="B36" s="238"/>
      <c r="C36" s="345"/>
      <c r="D36" s="239"/>
      <c r="E36" s="351" t="e">
        <f>tbl_Exh3.1[[#This Row],[Allowed Claims 
(as of 3/31/2025)]]/tbl_Exh3.1[[#This Row],[Allowed Claims Completion factor (based on IBNP estimates)]]</f>
        <v>#DIV/0!</v>
      </c>
      <c r="F36" s="355"/>
      <c r="G36" s="355"/>
      <c r="H36" s="345"/>
      <c r="I36" s="351" t="e">
        <f>tbl_Exh3.1[[#This Row],[Ultimate Allowed Claims]]-tbl_Exh3.1[[#This Row],[One-Time Adjustment for High Claims (Non-Predictive Claims)]]-tbl_Exh3.1[[#This Row],[One-Time Adjustment for HCRP Receipts]]-tbl_Exh3.1[[#This Row],[Non-EHB Allowed Claims]]</f>
        <v>#DIV/0!</v>
      </c>
      <c r="J36" s="323" t="e">
        <f>tbl_Exh3.1[[#This Row],[Predictive Ultimate Allowed EHB Claims]]/tbl_Exh3.1[[#This Row],[Member Months]]</f>
        <v>#DIV/0!</v>
      </c>
      <c r="K36" s="240">
        <f t="shared" ref="K36:K45" si="6">K35</f>
        <v>0</v>
      </c>
      <c r="L36" s="240">
        <f t="shared" si="5"/>
        <v>0</v>
      </c>
      <c r="M36" s="240">
        <f t="shared" si="5"/>
        <v>0</v>
      </c>
      <c r="N36" s="240">
        <f t="shared" si="5"/>
        <v>0</v>
      </c>
      <c r="O36" s="240">
        <f>PRODUCT(tbl_Exh3.1[[#This Row],[Morbidity Adjustment]:[Other Adjustments]])</f>
        <v>0</v>
      </c>
      <c r="P36" s="240" cm="1">
        <f t="array" ref="P36">PRODUCT(IF(VALUE(RIGHT(tbl_Exh3.1[Incurred Date (YYYYMM)],2))=VALUE(RIGHT(tbl_Exh3.1[[#This Row],[Incurred Date (YYYYMM)]],2)),IF(VALUE(LEFT(tbl_Exh3.1[Incurred Date (YYYYMM)],4))&lt;=VALUE(LEFT(tbl_Exh3.1[[#This Row],[Incurred Date (YYYYMM)]],4)),tbl_Exh3.1[Combined Adjustment],1),1))</f>
        <v>0</v>
      </c>
      <c r="Q36" s="240" t="e">
        <f>INDEX(tbl_Exh3.1[Accumulated Adjustments],MATCH(VALUE(SUBSTITUTE(tbl_Exh3.1[[#This Row],[Incurred Date (YYYYMM)]],LEFT(tbl_Exh3.1[[#This Row],[Incurred Date (YYYYMM)]],4),ExperYear)),tbl_Exh3.1[Incurred Date (YYYYMM)],0))/tbl_Exh3.1[[#This Row],[Accumulated Adjustments]]</f>
        <v>#DIV/0!</v>
      </c>
      <c r="R36" s="241" t="e">
        <f>tbl_Exh3.1[[#This Row],[Allowable Rating Adjustment Normalization Factor]]*tbl_Exh3.1[[#This Row],[Predictive Ultimate Allowed EHB Claims PMPM]]</f>
        <v>#DIV/0!</v>
      </c>
      <c r="S36" s="252" t="e">
        <f t="shared" si="3"/>
        <v>#DIV/0!</v>
      </c>
      <c r="T36" s="252" t="e">
        <f t="shared" si="4"/>
        <v>#DIV/0!</v>
      </c>
      <c r="U36" s="281"/>
      <c r="V36" s="281"/>
      <c r="W36" s="281"/>
    </row>
    <row r="37" spans="1:23" s="236" customFormat="1" ht="15.75" x14ac:dyDescent="0.25">
      <c r="A37" s="237">
        <f t="shared" si="0"/>
        <v>202404</v>
      </c>
      <c r="B37" s="238"/>
      <c r="C37" s="345"/>
      <c r="D37" s="239"/>
      <c r="E37" s="351" t="e">
        <f>tbl_Exh3.1[[#This Row],[Allowed Claims 
(as of 3/31/2025)]]/tbl_Exh3.1[[#This Row],[Allowed Claims Completion factor (based on IBNP estimates)]]</f>
        <v>#DIV/0!</v>
      </c>
      <c r="F37" s="355"/>
      <c r="G37" s="355"/>
      <c r="H37" s="345"/>
      <c r="I37" s="351" t="e">
        <f>tbl_Exh3.1[[#This Row],[Ultimate Allowed Claims]]-tbl_Exh3.1[[#This Row],[One-Time Adjustment for High Claims (Non-Predictive Claims)]]-tbl_Exh3.1[[#This Row],[One-Time Adjustment for HCRP Receipts]]-tbl_Exh3.1[[#This Row],[Non-EHB Allowed Claims]]</f>
        <v>#DIV/0!</v>
      </c>
      <c r="J37" s="323" t="e">
        <f>tbl_Exh3.1[[#This Row],[Predictive Ultimate Allowed EHB Claims]]/tbl_Exh3.1[[#This Row],[Member Months]]</f>
        <v>#DIV/0!</v>
      </c>
      <c r="K37" s="240">
        <f t="shared" si="6"/>
        <v>0</v>
      </c>
      <c r="L37" s="240">
        <f t="shared" si="5"/>
        <v>0</v>
      </c>
      <c r="M37" s="240">
        <f t="shared" si="5"/>
        <v>0</v>
      </c>
      <c r="N37" s="240">
        <f t="shared" si="5"/>
        <v>0</v>
      </c>
      <c r="O37" s="240">
        <f>PRODUCT(tbl_Exh3.1[[#This Row],[Morbidity Adjustment]:[Other Adjustments]])</f>
        <v>0</v>
      </c>
      <c r="P37" s="240" cm="1">
        <f t="array" ref="P37">PRODUCT(IF(VALUE(RIGHT(tbl_Exh3.1[Incurred Date (YYYYMM)],2))=VALUE(RIGHT(tbl_Exh3.1[[#This Row],[Incurred Date (YYYYMM)]],2)),IF(VALUE(LEFT(tbl_Exh3.1[Incurred Date (YYYYMM)],4))&lt;=VALUE(LEFT(tbl_Exh3.1[[#This Row],[Incurred Date (YYYYMM)]],4)),tbl_Exh3.1[Combined Adjustment],1),1))</f>
        <v>0</v>
      </c>
      <c r="Q37" s="240" t="e">
        <f>INDEX(tbl_Exh3.1[Accumulated Adjustments],MATCH(VALUE(SUBSTITUTE(tbl_Exh3.1[[#This Row],[Incurred Date (YYYYMM)]],LEFT(tbl_Exh3.1[[#This Row],[Incurred Date (YYYYMM)]],4),ExperYear)),tbl_Exh3.1[Incurred Date (YYYYMM)],0))/tbl_Exh3.1[[#This Row],[Accumulated Adjustments]]</f>
        <v>#DIV/0!</v>
      </c>
      <c r="R37" s="241" t="e">
        <f>tbl_Exh3.1[[#This Row],[Allowable Rating Adjustment Normalization Factor]]*tbl_Exh3.1[[#This Row],[Predictive Ultimate Allowed EHB Claims PMPM]]</f>
        <v>#DIV/0!</v>
      </c>
      <c r="S37" s="252" t="e">
        <f t="shared" si="3"/>
        <v>#DIV/0!</v>
      </c>
      <c r="T37" s="252" t="e">
        <f t="shared" si="4"/>
        <v>#DIV/0!</v>
      </c>
      <c r="U37" s="281"/>
      <c r="V37" s="281"/>
      <c r="W37" s="281"/>
    </row>
    <row r="38" spans="1:23" s="236" customFormat="1" ht="15.75" x14ac:dyDescent="0.25">
      <c r="A38" s="237">
        <f t="shared" si="0"/>
        <v>202405</v>
      </c>
      <c r="B38" s="238"/>
      <c r="C38" s="345"/>
      <c r="D38" s="239"/>
      <c r="E38" s="351" t="e">
        <f>tbl_Exh3.1[[#This Row],[Allowed Claims 
(as of 3/31/2025)]]/tbl_Exh3.1[[#This Row],[Allowed Claims Completion factor (based on IBNP estimates)]]</f>
        <v>#DIV/0!</v>
      </c>
      <c r="F38" s="355"/>
      <c r="G38" s="355"/>
      <c r="H38" s="345"/>
      <c r="I38" s="351" t="e">
        <f>tbl_Exh3.1[[#This Row],[Ultimate Allowed Claims]]-tbl_Exh3.1[[#This Row],[One-Time Adjustment for High Claims (Non-Predictive Claims)]]-tbl_Exh3.1[[#This Row],[One-Time Adjustment for HCRP Receipts]]-tbl_Exh3.1[[#This Row],[Non-EHB Allowed Claims]]</f>
        <v>#DIV/0!</v>
      </c>
      <c r="J38" s="323" t="e">
        <f>tbl_Exh3.1[[#This Row],[Predictive Ultimate Allowed EHB Claims]]/tbl_Exh3.1[[#This Row],[Member Months]]</f>
        <v>#DIV/0!</v>
      </c>
      <c r="K38" s="240">
        <f t="shared" si="6"/>
        <v>0</v>
      </c>
      <c r="L38" s="240">
        <f t="shared" si="5"/>
        <v>0</v>
      </c>
      <c r="M38" s="240">
        <f t="shared" si="5"/>
        <v>0</v>
      </c>
      <c r="N38" s="240">
        <f t="shared" si="5"/>
        <v>0</v>
      </c>
      <c r="O38" s="240">
        <f>PRODUCT(tbl_Exh3.1[[#This Row],[Morbidity Adjustment]:[Other Adjustments]])</f>
        <v>0</v>
      </c>
      <c r="P38" s="240" cm="1">
        <f t="array" ref="P38">PRODUCT(IF(VALUE(RIGHT(tbl_Exh3.1[Incurred Date (YYYYMM)],2))=VALUE(RIGHT(tbl_Exh3.1[[#This Row],[Incurred Date (YYYYMM)]],2)),IF(VALUE(LEFT(tbl_Exh3.1[Incurred Date (YYYYMM)],4))&lt;=VALUE(LEFT(tbl_Exh3.1[[#This Row],[Incurred Date (YYYYMM)]],4)),tbl_Exh3.1[Combined Adjustment],1),1))</f>
        <v>0</v>
      </c>
      <c r="Q38" s="240" t="e">
        <f>INDEX(tbl_Exh3.1[Accumulated Adjustments],MATCH(VALUE(SUBSTITUTE(tbl_Exh3.1[[#This Row],[Incurred Date (YYYYMM)]],LEFT(tbl_Exh3.1[[#This Row],[Incurred Date (YYYYMM)]],4),ExperYear)),tbl_Exh3.1[Incurred Date (YYYYMM)],0))/tbl_Exh3.1[[#This Row],[Accumulated Adjustments]]</f>
        <v>#DIV/0!</v>
      </c>
      <c r="R38" s="241" t="e">
        <f>tbl_Exh3.1[[#This Row],[Allowable Rating Adjustment Normalization Factor]]*tbl_Exh3.1[[#This Row],[Predictive Ultimate Allowed EHB Claims PMPM]]</f>
        <v>#DIV/0!</v>
      </c>
      <c r="S38" s="252" t="e">
        <f t="shared" si="3"/>
        <v>#DIV/0!</v>
      </c>
      <c r="T38" s="252" t="e">
        <f t="shared" si="4"/>
        <v>#DIV/0!</v>
      </c>
      <c r="U38" s="281"/>
      <c r="V38" s="281"/>
      <c r="W38" s="281"/>
    </row>
    <row r="39" spans="1:23" s="236" customFormat="1" ht="15.75" x14ac:dyDescent="0.25">
      <c r="A39" s="237">
        <f t="shared" si="0"/>
        <v>202406</v>
      </c>
      <c r="B39" s="238"/>
      <c r="C39" s="345"/>
      <c r="D39" s="239"/>
      <c r="E39" s="351" t="e">
        <f>tbl_Exh3.1[[#This Row],[Allowed Claims 
(as of 3/31/2025)]]/tbl_Exh3.1[[#This Row],[Allowed Claims Completion factor (based on IBNP estimates)]]</f>
        <v>#DIV/0!</v>
      </c>
      <c r="F39" s="355"/>
      <c r="G39" s="355"/>
      <c r="H39" s="345"/>
      <c r="I39" s="351" t="e">
        <f>tbl_Exh3.1[[#This Row],[Ultimate Allowed Claims]]-tbl_Exh3.1[[#This Row],[One-Time Adjustment for High Claims (Non-Predictive Claims)]]-tbl_Exh3.1[[#This Row],[One-Time Adjustment for HCRP Receipts]]-tbl_Exh3.1[[#This Row],[Non-EHB Allowed Claims]]</f>
        <v>#DIV/0!</v>
      </c>
      <c r="J39" s="323" t="e">
        <f>tbl_Exh3.1[[#This Row],[Predictive Ultimate Allowed EHB Claims]]/tbl_Exh3.1[[#This Row],[Member Months]]</f>
        <v>#DIV/0!</v>
      </c>
      <c r="K39" s="240">
        <f t="shared" si="6"/>
        <v>0</v>
      </c>
      <c r="L39" s="240">
        <f t="shared" si="5"/>
        <v>0</v>
      </c>
      <c r="M39" s="240">
        <f t="shared" si="5"/>
        <v>0</v>
      </c>
      <c r="N39" s="240">
        <f t="shared" si="5"/>
        <v>0</v>
      </c>
      <c r="O39" s="240">
        <f>PRODUCT(tbl_Exh3.1[[#This Row],[Morbidity Adjustment]:[Other Adjustments]])</f>
        <v>0</v>
      </c>
      <c r="P39" s="240" cm="1">
        <f t="array" ref="P39">PRODUCT(IF(VALUE(RIGHT(tbl_Exh3.1[Incurred Date (YYYYMM)],2))=VALUE(RIGHT(tbl_Exh3.1[[#This Row],[Incurred Date (YYYYMM)]],2)),IF(VALUE(LEFT(tbl_Exh3.1[Incurred Date (YYYYMM)],4))&lt;=VALUE(LEFT(tbl_Exh3.1[[#This Row],[Incurred Date (YYYYMM)]],4)),tbl_Exh3.1[Combined Adjustment],1),1))</f>
        <v>0</v>
      </c>
      <c r="Q39" s="240" t="e">
        <f>INDEX(tbl_Exh3.1[Accumulated Adjustments],MATCH(VALUE(SUBSTITUTE(tbl_Exh3.1[[#This Row],[Incurred Date (YYYYMM)]],LEFT(tbl_Exh3.1[[#This Row],[Incurred Date (YYYYMM)]],4),ExperYear)),tbl_Exh3.1[Incurred Date (YYYYMM)],0))/tbl_Exh3.1[[#This Row],[Accumulated Adjustments]]</f>
        <v>#DIV/0!</v>
      </c>
      <c r="R39" s="241" t="e">
        <f>tbl_Exh3.1[[#This Row],[Allowable Rating Adjustment Normalization Factor]]*tbl_Exh3.1[[#This Row],[Predictive Ultimate Allowed EHB Claims PMPM]]</f>
        <v>#DIV/0!</v>
      </c>
      <c r="S39" s="252" t="e">
        <f t="shared" si="3"/>
        <v>#DIV/0!</v>
      </c>
      <c r="T39" s="252" t="e">
        <f t="shared" si="4"/>
        <v>#DIV/0!</v>
      </c>
      <c r="U39" s="281"/>
      <c r="V39" s="281"/>
      <c r="W39" s="281"/>
    </row>
    <row r="40" spans="1:23" s="236" customFormat="1" ht="15.75" x14ac:dyDescent="0.25">
      <c r="A40" s="237">
        <f t="shared" si="0"/>
        <v>202407</v>
      </c>
      <c r="B40" s="238"/>
      <c r="C40" s="345"/>
      <c r="D40" s="239"/>
      <c r="E40" s="351" t="e">
        <f>tbl_Exh3.1[[#This Row],[Allowed Claims 
(as of 3/31/2025)]]/tbl_Exh3.1[[#This Row],[Allowed Claims Completion factor (based on IBNP estimates)]]</f>
        <v>#DIV/0!</v>
      </c>
      <c r="F40" s="355"/>
      <c r="G40" s="355"/>
      <c r="H40" s="345"/>
      <c r="I40" s="351" t="e">
        <f>tbl_Exh3.1[[#This Row],[Ultimate Allowed Claims]]-tbl_Exh3.1[[#This Row],[One-Time Adjustment for High Claims (Non-Predictive Claims)]]-tbl_Exh3.1[[#This Row],[One-Time Adjustment for HCRP Receipts]]-tbl_Exh3.1[[#This Row],[Non-EHB Allowed Claims]]</f>
        <v>#DIV/0!</v>
      </c>
      <c r="J40" s="323" t="e">
        <f>tbl_Exh3.1[[#This Row],[Predictive Ultimate Allowed EHB Claims]]/tbl_Exh3.1[[#This Row],[Member Months]]</f>
        <v>#DIV/0!</v>
      </c>
      <c r="K40" s="240">
        <f t="shared" si="6"/>
        <v>0</v>
      </c>
      <c r="L40" s="240">
        <f t="shared" si="5"/>
        <v>0</v>
      </c>
      <c r="M40" s="240">
        <f t="shared" si="5"/>
        <v>0</v>
      </c>
      <c r="N40" s="240">
        <f t="shared" si="5"/>
        <v>0</v>
      </c>
      <c r="O40" s="240">
        <f>PRODUCT(tbl_Exh3.1[[#This Row],[Morbidity Adjustment]:[Other Adjustments]])</f>
        <v>0</v>
      </c>
      <c r="P40" s="240" cm="1">
        <f t="array" ref="P40">PRODUCT(IF(VALUE(RIGHT(tbl_Exh3.1[Incurred Date (YYYYMM)],2))=VALUE(RIGHT(tbl_Exh3.1[[#This Row],[Incurred Date (YYYYMM)]],2)),IF(VALUE(LEFT(tbl_Exh3.1[Incurred Date (YYYYMM)],4))&lt;=VALUE(LEFT(tbl_Exh3.1[[#This Row],[Incurred Date (YYYYMM)]],4)),tbl_Exh3.1[Combined Adjustment],1),1))</f>
        <v>0</v>
      </c>
      <c r="Q40" s="240" t="e">
        <f>INDEX(tbl_Exh3.1[Accumulated Adjustments],MATCH(VALUE(SUBSTITUTE(tbl_Exh3.1[[#This Row],[Incurred Date (YYYYMM)]],LEFT(tbl_Exh3.1[[#This Row],[Incurred Date (YYYYMM)]],4),ExperYear)),tbl_Exh3.1[Incurred Date (YYYYMM)],0))/tbl_Exh3.1[[#This Row],[Accumulated Adjustments]]</f>
        <v>#DIV/0!</v>
      </c>
      <c r="R40" s="241" t="e">
        <f>tbl_Exh3.1[[#This Row],[Allowable Rating Adjustment Normalization Factor]]*tbl_Exh3.1[[#This Row],[Predictive Ultimate Allowed EHB Claims PMPM]]</f>
        <v>#DIV/0!</v>
      </c>
      <c r="S40" s="252" t="e">
        <f t="shared" si="3"/>
        <v>#DIV/0!</v>
      </c>
      <c r="T40" s="252" t="e">
        <f t="shared" si="4"/>
        <v>#DIV/0!</v>
      </c>
      <c r="U40" s="281"/>
      <c r="V40" s="281"/>
      <c r="W40" s="281"/>
    </row>
    <row r="41" spans="1:23" s="236" customFormat="1" ht="15.75" x14ac:dyDescent="0.25">
      <c r="A41" s="237">
        <f t="shared" si="0"/>
        <v>202408</v>
      </c>
      <c r="B41" s="238"/>
      <c r="C41" s="345"/>
      <c r="D41" s="239"/>
      <c r="E41" s="351" t="e">
        <f>tbl_Exh3.1[[#This Row],[Allowed Claims 
(as of 3/31/2025)]]/tbl_Exh3.1[[#This Row],[Allowed Claims Completion factor (based on IBNP estimates)]]</f>
        <v>#DIV/0!</v>
      </c>
      <c r="F41" s="355"/>
      <c r="G41" s="355"/>
      <c r="H41" s="345"/>
      <c r="I41" s="351" t="e">
        <f>tbl_Exh3.1[[#This Row],[Ultimate Allowed Claims]]-tbl_Exh3.1[[#This Row],[One-Time Adjustment for High Claims (Non-Predictive Claims)]]-tbl_Exh3.1[[#This Row],[One-Time Adjustment for HCRP Receipts]]-tbl_Exh3.1[[#This Row],[Non-EHB Allowed Claims]]</f>
        <v>#DIV/0!</v>
      </c>
      <c r="J41" s="323" t="e">
        <f>tbl_Exh3.1[[#This Row],[Predictive Ultimate Allowed EHB Claims]]/tbl_Exh3.1[[#This Row],[Member Months]]</f>
        <v>#DIV/0!</v>
      </c>
      <c r="K41" s="240">
        <f t="shared" si="6"/>
        <v>0</v>
      </c>
      <c r="L41" s="240">
        <f t="shared" si="5"/>
        <v>0</v>
      </c>
      <c r="M41" s="240">
        <f t="shared" si="5"/>
        <v>0</v>
      </c>
      <c r="N41" s="240">
        <f t="shared" si="5"/>
        <v>0</v>
      </c>
      <c r="O41" s="240">
        <f>PRODUCT(tbl_Exh3.1[[#This Row],[Morbidity Adjustment]:[Other Adjustments]])</f>
        <v>0</v>
      </c>
      <c r="P41" s="240" cm="1">
        <f t="array" ref="P41">PRODUCT(IF(VALUE(RIGHT(tbl_Exh3.1[Incurred Date (YYYYMM)],2))=VALUE(RIGHT(tbl_Exh3.1[[#This Row],[Incurred Date (YYYYMM)]],2)),IF(VALUE(LEFT(tbl_Exh3.1[Incurred Date (YYYYMM)],4))&lt;=VALUE(LEFT(tbl_Exh3.1[[#This Row],[Incurred Date (YYYYMM)]],4)),tbl_Exh3.1[Combined Adjustment],1),1))</f>
        <v>0</v>
      </c>
      <c r="Q41" s="240" t="e">
        <f>INDEX(tbl_Exh3.1[Accumulated Adjustments],MATCH(VALUE(SUBSTITUTE(tbl_Exh3.1[[#This Row],[Incurred Date (YYYYMM)]],LEFT(tbl_Exh3.1[[#This Row],[Incurred Date (YYYYMM)]],4),ExperYear)),tbl_Exh3.1[Incurred Date (YYYYMM)],0))/tbl_Exh3.1[[#This Row],[Accumulated Adjustments]]</f>
        <v>#DIV/0!</v>
      </c>
      <c r="R41" s="241" t="e">
        <f>tbl_Exh3.1[[#This Row],[Allowable Rating Adjustment Normalization Factor]]*tbl_Exh3.1[[#This Row],[Predictive Ultimate Allowed EHB Claims PMPM]]</f>
        <v>#DIV/0!</v>
      </c>
      <c r="S41" s="252" t="e">
        <f t="shared" si="3"/>
        <v>#DIV/0!</v>
      </c>
      <c r="T41" s="252" t="e">
        <f t="shared" si="4"/>
        <v>#DIV/0!</v>
      </c>
      <c r="U41" s="281"/>
      <c r="V41" s="281"/>
      <c r="W41" s="281"/>
    </row>
    <row r="42" spans="1:23" s="236" customFormat="1" ht="15.75" x14ac:dyDescent="0.25">
      <c r="A42" s="237">
        <f t="shared" si="0"/>
        <v>202409</v>
      </c>
      <c r="B42" s="238"/>
      <c r="C42" s="345"/>
      <c r="D42" s="239"/>
      <c r="E42" s="351" t="e">
        <f>tbl_Exh3.1[[#This Row],[Allowed Claims 
(as of 3/31/2025)]]/tbl_Exh3.1[[#This Row],[Allowed Claims Completion factor (based on IBNP estimates)]]</f>
        <v>#DIV/0!</v>
      </c>
      <c r="F42" s="355"/>
      <c r="G42" s="355"/>
      <c r="H42" s="345"/>
      <c r="I42" s="351" t="e">
        <f>tbl_Exh3.1[[#This Row],[Ultimate Allowed Claims]]-tbl_Exh3.1[[#This Row],[One-Time Adjustment for High Claims (Non-Predictive Claims)]]-tbl_Exh3.1[[#This Row],[One-Time Adjustment for HCRP Receipts]]-tbl_Exh3.1[[#This Row],[Non-EHB Allowed Claims]]</f>
        <v>#DIV/0!</v>
      </c>
      <c r="J42" s="323" t="e">
        <f>tbl_Exh3.1[[#This Row],[Predictive Ultimate Allowed EHB Claims]]/tbl_Exh3.1[[#This Row],[Member Months]]</f>
        <v>#DIV/0!</v>
      </c>
      <c r="K42" s="240">
        <f t="shared" si="6"/>
        <v>0</v>
      </c>
      <c r="L42" s="240">
        <f t="shared" si="5"/>
        <v>0</v>
      </c>
      <c r="M42" s="240">
        <f t="shared" si="5"/>
        <v>0</v>
      </c>
      <c r="N42" s="240">
        <f t="shared" si="5"/>
        <v>0</v>
      </c>
      <c r="O42" s="240">
        <f>PRODUCT(tbl_Exh3.1[[#This Row],[Morbidity Adjustment]:[Other Adjustments]])</f>
        <v>0</v>
      </c>
      <c r="P42" s="240" cm="1">
        <f t="array" ref="P42">PRODUCT(IF(VALUE(RIGHT(tbl_Exh3.1[Incurred Date (YYYYMM)],2))=VALUE(RIGHT(tbl_Exh3.1[[#This Row],[Incurred Date (YYYYMM)]],2)),IF(VALUE(LEFT(tbl_Exh3.1[Incurred Date (YYYYMM)],4))&lt;=VALUE(LEFT(tbl_Exh3.1[[#This Row],[Incurred Date (YYYYMM)]],4)),tbl_Exh3.1[Combined Adjustment],1),1))</f>
        <v>0</v>
      </c>
      <c r="Q42" s="240" t="e">
        <f>INDEX(tbl_Exh3.1[Accumulated Adjustments],MATCH(VALUE(SUBSTITUTE(tbl_Exh3.1[[#This Row],[Incurred Date (YYYYMM)]],LEFT(tbl_Exh3.1[[#This Row],[Incurred Date (YYYYMM)]],4),ExperYear)),tbl_Exh3.1[Incurred Date (YYYYMM)],0))/tbl_Exh3.1[[#This Row],[Accumulated Adjustments]]</f>
        <v>#DIV/0!</v>
      </c>
      <c r="R42" s="241" t="e">
        <f>tbl_Exh3.1[[#This Row],[Allowable Rating Adjustment Normalization Factor]]*tbl_Exh3.1[[#This Row],[Predictive Ultimate Allowed EHB Claims PMPM]]</f>
        <v>#DIV/0!</v>
      </c>
      <c r="S42" s="252" t="e">
        <f t="shared" si="3"/>
        <v>#DIV/0!</v>
      </c>
      <c r="T42" s="252" t="e">
        <f t="shared" si="4"/>
        <v>#DIV/0!</v>
      </c>
      <c r="U42" s="281"/>
      <c r="V42" s="281"/>
      <c r="W42" s="281"/>
    </row>
    <row r="43" spans="1:23" s="236" customFormat="1" ht="15.75" x14ac:dyDescent="0.25">
      <c r="A43" s="237">
        <f t="shared" si="0"/>
        <v>202410</v>
      </c>
      <c r="B43" s="238"/>
      <c r="C43" s="345"/>
      <c r="D43" s="239"/>
      <c r="E43" s="351" t="e">
        <f>tbl_Exh3.1[[#This Row],[Allowed Claims 
(as of 3/31/2025)]]/tbl_Exh3.1[[#This Row],[Allowed Claims Completion factor (based on IBNP estimates)]]</f>
        <v>#DIV/0!</v>
      </c>
      <c r="F43" s="355"/>
      <c r="G43" s="355"/>
      <c r="H43" s="345"/>
      <c r="I43" s="351" t="e">
        <f>tbl_Exh3.1[[#This Row],[Ultimate Allowed Claims]]-tbl_Exh3.1[[#This Row],[One-Time Adjustment for High Claims (Non-Predictive Claims)]]-tbl_Exh3.1[[#This Row],[One-Time Adjustment for HCRP Receipts]]-tbl_Exh3.1[[#This Row],[Non-EHB Allowed Claims]]</f>
        <v>#DIV/0!</v>
      </c>
      <c r="J43" s="323" t="e">
        <f>tbl_Exh3.1[[#This Row],[Predictive Ultimate Allowed EHB Claims]]/tbl_Exh3.1[[#This Row],[Member Months]]</f>
        <v>#DIV/0!</v>
      </c>
      <c r="K43" s="240">
        <f t="shared" si="6"/>
        <v>0</v>
      </c>
      <c r="L43" s="240">
        <f t="shared" si="5"/>
        <v>0</v>
      </c>
      <c r="M43" s="240">
        <f t="shared" si="5"/>
        <v>0</v>
      </c>
      <c r="N43" s="240">
        <f t="shared" si="5"/>
        <v>0</v>
      </c>
      <c r="O43" s="240">
        <f>PRODUCT(tbl_Exh3.1[[#This Row],[Morbidity Adjustment]:[Other Adjustments]])</f>
        <v>0</v>
      </c>
      <c r="P43" s="240" cm="1">
        <f t="array" ref="P43">PRODUCT(IF(VALUE(RIGHT(tbl_Exh3.1[Incurred Date (YYYYMM)],2))=VALUE(RIGHT(tbl_Exh3.1[[#This Row],[Incurred Date (YYYYMM)]],2)),IF(VALUE(LEFT(tbl_Exh3.1[Incurred Date (YYYYMM)],4))&lt;=VALUE(LEFT(tbl_Exh3.1[[#This Row],[Incurred Date (YYYYMM)]],4)),tbl_Exh3.1[Combined Adjustment],1),1))</f>
        <v>0</v>
      </c>
      <c r="Q43" s="240" t="e">
        <f>INDEX(tbl_Exh3.1[Accumulated Adjustments],MATCH(VALUE(SUBSTITUTE(tbl_Exh3.1[[#This Row],[Incurred Date (YYYYMM)]],LEFT(tbl_Exh3.1[[#This Row],[Incurred Date (YYYYMM)]],4),ExperYear)),tbl_Exh3.1[Incurred Date (YYYYMM)],0))/tbl_Exh3.1[[#This Row],[Accumulated Adjustments]]</f>
        <v>#DIV/0!</v>
      </c>
      <c r="R43" s="241" t="e">
        <f>tbl_Exh3.1[[#This Row],[Allowable Rating Adjustment Normalization Factor]]*tbl_Exh3.1[[#This Row],[Predictive Ultimate Allowed EHB Claims PMPM]]</f>
        <v>#DIV/0!</v>
      </c>
      <c r="S43" s="252" t="e">
        <f t="shared" si="3"/>
        <v>#DIV/0!</v>
      </c>
      <c r="T43" s="252" t="e">
        <f t="shared" si="4"/>
        <v>#DIV/0!</v>
      </c>
      <c r="U43" s="281"/>
      <c r="V43" s="281"/>
      <c r="W43" s="281"/>
    </row>
    <row r="44" spans="1:23" s="236" customFormat="1" ht="15.75" x14ac:dyDescent="0.25">
      <c r="A44" s="237">
        <f t="shared" si="0"/>
        <v>202411</v>
      </c>
      <c r="B44" s="238"/>
      <c r="C44" s="345"/>
      <c r="D44" s="239"/>
      <c r="E44" s="351" t="e">
        <f>tbl_Exh3.1[[#This Row],[Allowed Claims 
(as of 3/31/2025)]]/tbl_Exh3.1[[#This Row],[Allowed Claims Completion factor (based on IBNP estimates)]]</f>
        <v>#DIV/0!</v>
      </c>
      <c r="F44" s="355"/>
      <c r="G44" s="355"/>
      <c r="H44" s="345"/>
      <c r="I44" s="351" t="e">
        <f>tbl_Exh3.1[[#This Row],[Ultimate Allowed Claims]]-tbl_Exh3.1[[#This Row],[One-Time Adjustment for High Claims (Non-Predictive Claims)]]-tbl_Exh3.1[[#This Row],[One-Time Adjustment for HCRP Receipts]]-tbl_Exh3.1[[#This Row],[Non-EHB Allowed Claims]]</f>
        <v>#DIV/0!</v>
      </c>
      <c r="J44" s="323" t="e">
        <f>tbl_Exh3.1[[#This Row],[Predictive Ultimate Allowed EHB Claims]]/tbl_Exh3.1[[#This Row],[Member Months]]</f>
        <v>#DIV/0!</v>
      </c>
      <c r="K44" s="240">
        <f t="shared" si="6"/>
        <v>0</v>
      </c>
      <c r="L44" s="240">
        <f t="shared" si="5"/>
        <v>0</v>
      </c>
      <c r="M44" s="240">
        <f t="shared" si="5"/>
        <v>0</v>
      </c>
      <c r="N44" s="240">
        <f t="shared" si="5"/>
        <v>0</v>
      </c>
      <c r="O44" s="240">
        <f>PRODUCT(tbl_Exh3.1[[#This Row],[Morbidity Adjustment]:[Other Adjustments]])</f>
        <v>0</v>
      </c>
      <c r="P44" s="240" cm="1">
        <f t="array" ref="P44">PRODUCT(IF(VALUE(RIGHT(tbl_Exh3.1[Incurred Date (YYYYMM)],2))=VALUE(RIGHT(tbl_Exh3.1[[#This Row],[Incurred Date (YYYYMM)]],2)),IF(VALUE(LEFT(tbl_Exh3.1[Incurred Date (YYYYMM)],4))&lt;=VALUE(LEFT(tbl_Exh3.1[[#This Row],[Incurred Date (YYYYMM)]],4)),tbl_Exh3.1[Combined Adjustment],1),1))</f>
        <v>0</v>
      </c>
      <c r="Q44" s="240" t="e">
        <f>INDEX(tbl_Exh3.1[Accumulated Adjustments],MATCH(VALUE(SUBSTITUTE(tbl_Exh3.1[[#This Row],[Incurred Date (YYYYMM)]],LEFT(tbl_Exh3.1[[#This Row],[Incurred Date (YYYYMM)]],4),ExperYear)),tbl_Exh3.1[Incurred Date (YYYYMM)],0))/tbl_Exh3.1[[#This Row],[Accumulated Adjustments]]</f>
        <v>#DIV/0!</v>
      </c>
      <c r="R44" s="241" t="e">
        <f>tbl_Exh3.1[[#This Row],[Allowable Rating Adjustment Normalization Factor]]*tbl_Exh3.1[[#This Row],[Predictive Ultimate Allowed EHB Claims PMPM]]</f>
        <v>#DIV/0!</v>
      </c>
      <c r="S44" s="252" t="e">
        <f t="shared" si="3"/>
        <v>#DIV/0!</v>
      </c>
      <c r="T44" s="252" t="e">
        <f t="shared" si="4"/>
        <v>#DIV/0!</v>
      </c>
      <c r="U44" s="281"/>
      <c r="V44" s="281"/>
      <c r="W44" s="281"/>
    </row>
    <row r="45" spans="1:23" s="236" customFormat="1" ht="15.75" x14ac:dyDescent="0.25">
      <c r="A45" s="255">
        <f>(ExperYear&amp;"12")*1</f>
        <v>202412</v>
      </c>
      <c r="B45" s="238"/>
      <c r="C45" s="345"/>
      <c r="D45" s="256"/>
      <c r="E45" s="351" t="e">
        <f>tbl_Exh3.1[[#This Row],[Allowed Claims 
(as of 3/31/2025)]]/tbl_Exh3.1[[#This Row],[Allowed Claims Completion factor (based on IBNP estimates)]]</f>
        <v>#DIV/0!</v>
      </c>
      <c r="F45" s="361"/>
      <c r="G45" s="361"/>
      <c r="H45" s="354"/>
      <c r="I45" s="351" t="e">
        <f>tbl_Exh3.1[[#This Row],[Ultimate Allowed Claims]]-tbl_Exh3.1[[#This Row],[One-Time Adjustment for High Claims (Non-Predictive Claims)]]-tbl_Exh3.1[[#This Row],[One-Time Adjustment for HCRP Receipts]]-tbl_Exh3.1[[#This Row],[Non-EHB Allowed Claims]]</f>
        <v>#DIV/0!</v>
      </c>
      <c r="J45" s="324" t="e">
        <f>tbl_Exh3.1[[#This Row],[Predictive Ultimate Allowed EHB Claims]]/tbl_Exh3.1[[#This Row],[Member Months]]</f>
        <v>#DIV/0!</v>
      </c>
      <c r="K45" s="240">
        <f t="shared" si="6"/>
        <v>0</v>
      </c>
      <c r="L45" s="240">
        <f t="shared" si="5"/>
        <v>0</v>
      </c>
      <c r="M45" s="240">
        <f t="shared" si="5"/>
        <v>0</v>
      </c>
      <c r="N45" s="240">
        <f t="shared" si="5"/>
        <v>0</v>
      </c>
      <c r="O45" s="257">
        <f>PRODUCT(tbl_Exh3.1[[#This Row],[Morbidity Adjustment]:[Other Adjustments]])</f>
        <v>0</v>
      </c>
      <c r="P45" s="257" cm="1">
        <f t="array" ref="P45">PRODUCT(IF(VALUE(RIGHT(tbl_Exh3.1[Incurred Date (YYYYMM)],2))=VALUE(RIGHT(tbl_Exh3.1[[#This Row],[Incurred Date (YYYYMM)]],2)),IF(VALUE(LEFT(tbl_Exh3.1[Incurred Date (YYYYMM)],4))&lt;=VALUE(LEFT(tbl_Exh3.1[[#This Row],[Incurred Date (YYYYMM)]],4)),tbl_Exh3.1[Combined Adjustment],1),1))</f>
        <v>0</v>
      </c>
      <c r="Q45" s="257" t="e">
        <f>INDEX(tbl_Exh3.1[Accumulated Adjustments],MATCH(VALUE(SUBSTITUTE(tbl_Exh3.1[[#This Row],[Incurred Date (YYYYMM)]],LEFT(tbl_Exh3.1[[#This Row],[Incurred Date (YYYYMM)]],4),ExperYear)),tbl_Exh3.1[Incurred Date (YYYYMM)],0))/tbl_Exh3.1[[#This Row],[Accumulated Adjustments]]</f>
        <v>#DIV/0!</v>
      </c>
      <c r="R45" s="258" t="e">
        <f>tbl_Exh3.1[[#This Row],[Allowable Rating Adjustment Normalization Factor]]*tbl_Exh3.1[[#This Row],[Predictive Ultimate Allowed EHB Claims PMPM]]</f>
        <v>#DIV/0!</v>
      </c>
      <c r="S45" s="252" t="e">
        <f t="shared" si="3"/>
        <v>#DIV/0!</v>
      </c>
      <c r="T45" s="252" t="e">
        <f t="shared" si="4"/>
        <v>#DIV/0!</v>
      </c>
      <c r="U45" s="281"/>
      <c r="V45" s="281"/>
      <c r="W45" s="281"/>
    </row>
    <row r="46" spans="1:23" s="82" customFormat="1" ht="15.75" x14ac:dyDescent="0.25"/>
    <row r="47" spans="1:23" s="82" customFormat="1" ht="21" x14ac:dyDescent="0.35">
      <c r="A47" s="269" t="s">
        <v>166</v>
      </c>
    </row>
    <row r="48" spans="1:23" s="82" customFormat="1" ht="123" customHeight="1" x14ac:dyDescent="0.25">
      <c r="A48" s="319" t="s">
        <v>167</v>
      </c>
      <c r="B48" s="320" t="s">
        <v>168</v>
      </c>
      <c r="C48" s="316" t="s">
        <v>169</v>
      </c>
      <c r="D48" s="485" t="s">
        <v>170</v>
      </c>
      <c r="E48" s="320" t="s">
        <v>171</v>
      </c>
      <c r="F48" s="316" t="s">
        <v>172</v>
      </c>
      <c r="G48" s="316" t="s">
        <v>173</v>
      </c>
      <c r="H48" s="316" t="s">
        <v>174</v>
      </c>
      <c r="I48" s="320" t="s">
        <v>175</v>
      </c>
      <c r="J48" s="320" t="s">
        <v>176</v>
      </c>
      <c r="O48" s="272"/>
    </row>
    <row r="49" spans="1:16" s="82" customFormat="1" ht="15.75" x14ac:dyDescent="0.25">
      <c r="A49" s="420">
        <v>2022</v>
      </c>
      <c r="B49" s="266" cm="1">
        <f t="array" ref="B49">SUMPRODUCT((ROUNDDOWN(tbl_Exh3.1[Incurred Date (YYYYMM)]/100,0)=$A49)*tbl_Exh3.1[Member Months])</f>
        <v>0</v>
      </c>
      <c r="C49" s="351" cm="1">
        <f t="array" ref="C49">SUMPRODUCT((ROUNDDOWN(tbl_Exh3.1[Incurred Date (YYYYMM)]/100,0)=A49)*tbl_Exh3.1[Allowed Claims 
(as of 3/31/2025)])</f>
        <v>0</v>
      </c>
      <c r="D49" s="483"/>
      <c r="E49" s="351" t="e" cm="1">
        <f t="array" ref="E49">SUMPRODUCT((ROUNDDOWN(tbl_Exh3.1[Incurred Date (YYYYMM)]/100,0)=A49)*tbl_Exh3.1[Ultimate Allowed Claims])</f>
        <v>#DIV/0!</v>
      </c>
      <c r="F49" s="351" cm="1">
        <f t="array" ref="F49">SUMPRODUCT((ROUNDDOWN(tbl_Exh3.1[Incurred Date (YYYYMM)]/100,0)=A49)*tbl_Exh3.1[One-Time Adjustment for High Claims (Non-Predictive Claims)])</f>
        <v>0</v>
      </c>
      <c r="G49" s="351" cm="1">
        <f t="array" ref="G49">SUMPRODUCT((ROUNDDOWN(tbl_Exh3.1[Incurred Date (YYYYMM)]/100,0)=A49)*tbl_Exh3.1[One-Time Adjustment for HCRP Receipts])</f>
        <v>0</v>
      </c>
      <c r="H49" s="351" cm="1">
        <f t="array" ref="H49">SUMPRODUCT((ROUNDDOWN(tbl_Exh3.1[Incurred Date (YYYYMM)]/100,0)=A49)*tbl_Exh3.1[Non-EHB Allowed Claims])</f>
        <v>0</v>
      </c>
      <c r="I49" s="351" t="e" cm="1">
        <f t="array" ref="I49">SUMPRODUCT((ROUNDDOWN(tbl_Exh3.1[Incurred Date (YYYYMM)]/100,0)=A49)*tbl_Exh3.1[Predictive Ultimate Allowed EHB Claims])</f>
        <v>#DIV/0!</v>
      </c>
      <c r="J49" s="416" t="e">
        <f>tbl_Exh3.2[[#This Row],[Total Predictive Ultimate Allowed EHB Claims]]/tbl_Exh3.2[[#This Row],[Total Member Months]]</f>
        <v>#DIV/0!</v>
      </c>
    </row>
    <row r="50" spans="1:16" s="82" customFormat="1" ht="15.75" x14ac:dyDescent="0.25">
      <c r="A50" s="420">
        <v>2023</v>
      </c>
      <c r="B50" s="266" cm="1">
        <f t="array" ref="B50">SUMPRODUCT((ROUNDDOWN(tbl_Exh3.1[Incurred Date (YYYYMM)]/100,0)=$A50)*tbl_Exh3.1[Member Months])</f>
        <v>0</v>
      </c>
      <c r="C50" s="351" cm="1">
        <f t="array" ref="C50">SUMPRODUCT((ROUNDDOWN(tbl_Exh3.1[Incurred Date (YYYYMM)]/100,0)=A50)*tbl_Exh3.1[Allowed Claims 
(as of 3/31/2025)])</f>
        <v>0</v>
      </c>
      <c r="D50" s="483"/>
      <c r="E50" s="351" t="e" cm="1">
        <f t="array" ref="E50">SUMPRODUCT((ROUNDDOWN(tbl_Exh3.1[Incurred Date (YYYYMM)]/100,0)=A50)*tbl_Exh3.1[Ultimate Allowed Claims])</f>
        <v>#DIV/0!</v>
      </c>
      <c r="F50" s="351" cm="1">
        <f t="array" ref="F50">SUMPRODUCT((ROUNDDOWN(tbl_Exh3.1[Incurred Date (YYYYMM)]/100,0)=A50)*tbl_Exh3.1[One-Time Adjustment for High Claims (Non-Predictive Claims)])</f>
        <v>0</v>
      </c>
      <c r="G50" s="351" cm="1">
        <f t="array" ref="G50">SUMPRODUCT((ROUNDDOWN(tbl_Exh3.1[Incurred Date (YYYYMM)]/100,0)=A50)*tbl_Exh3.1[One-Time Adjustment for HCRP Receipts])</f>
        <v>0</v>
      </c>
      <c r="H50" s="351" cm="1">
        <f t="array" ref="H50">SUMPRODUCT((ROUNDDOWN(tbl_Exh3.1[Incurred Date (YYYYMM)]/100,0)=A50)*tbl_Exh3.1[Non-EHB Allowed Claims])</f>
        <v>0</v>
      </c>
      <c r="I50" s="351" t="e" cm="1">
        <f t="array" ref="I50">SUMPRODUCT((ROUNDDOWN(tbl_Exh3.1[Incurred Date (YYYYMM)]/100,0)=A50)*tbl_Exh3.1[Predictive Ultimate Allowed EHB Claims])</f>
        <v>#DIV/0!</v>
      </c>
      <c r="J50" s="417" t="e">
        <f>tbl_Exh3.2[[#This Row],[Total Predictive Ultimate Allowed EHB Claims]]/tbl_Exh3.2[[#This Row],[Total Member Months]]</f>
        <v>#DIV/0!</v>
      </c>
    </row>
    <row r="51" spans="1:16" s="82" customFormat="1" ht="15.75" x14ac:dyDescent="0.25">
      <c r="A51" s="421">
        <v>2024</v>
      </c>
      <c r="B51" s="267" cm="1">
        <f t="array" ref="B51">SUMPRODUCT((ROUNDDOWN(tbl_Exh3.1[Incurred Date (YYYYMM)]/100,0)=$A51)*tbl_Exh3.1[Member Months])</f>
        <v>0</v>
      </c>
      <c r="C51" s="419" cm="1">
        <f t="array" ref="C51">SUMPRODUCT((ROUNDDOWN(tbl_Exh3.1[Incurred Date (YYYYMM)]/100,0)=A51)*tbl_Exh3.1[Allowed Claims 
(as of 3/31/2025)])</f>
        <v>0</v>
      </c>
      <c r="D51" s="484"/>
      <c r="E51" s="419" t="e" cm="1">
        <f t="array" ref="E51">SUMPRODUCT((ROUNDDOWN(tbl_Exh3.1[Incurred Date (YYYYMM)]/100,0)=A51)*tbl_Exh3.1[Ultimate Allowed Claims])</f>
        <v>#DIV/0!</v>
      </c>
      <c r="F51" s="419" cm="1">
        <f t="array" ref="F51">SUMPRODUCT((ROUNDDOWN(tbl_Exh3.1[Incurred Date (YYYYMM)]/100,0)=A51)*tbl_Exh3.1[One-Time Adjustment for High Claims (Non-Predictive Claims)])</f>
        <v>0</v>
      </c>
      <c r="G51" s="419" cm="1">
        <f t="array" ref="G51">SUMPRODUCT((ROUNDDOWN(tbl_Exh3.1[Incurred Date (YYYYMM)]/100,0)=A51)*tbl_Exh3.1[One-Time Adjustment for HCRP Receipts])</f>
        <v>0</v>
      </c>
      <c r="H51" s="419" cm="1">
        <f t="array" ref="H51">SUMPRODUCT((ROUNDDOWN(tbl_Exh3.1[Incurred Date (YYYYMM)]/100,0)=A51)*tbl_Exh3.1[Non-EHB Allowed Claims])</f>
        <v>0</v>
      </c>
      <c r="I51" s="419" t="e" cm="1">
        <f t="array" ref="I51">SUMPRODUCT((ROUNDDOWN(tbl_Exh3.1[Incurred Date (YYYYMM)]/100,0)=A51)*tbl_Exh3.1[Predictive Ultimate Allowed EHB Claims])</f>
        <v>#DIV/0!</v>
      </c>
      <c r="J51" s="418" t="e">
        <f>tbl_Exh3.2[[#This Row],[Total Predictive Ultimate Allowed EHB Claims]]/tbl_Exh3.2[[#This Row],[Total Member Months]]</f>
        <v>#DIV/0!</v>
      </c>
    </row>
    <row r="52" spans="1:16" s="82" customFormat="1" ht="15.75" x14ac:dyDescent="0.25">
      <c r="B52" s="265"/>
      <c r="C52" s="265"/>
      <c r="J52"/>
    </row>
    <row r="53" spans="1:16" s="82" customFormat="1" ht="21.75" thickBot="1" x14ac:dyDescent="0.4">
      <c r="A53" s="131" t="s">
        <v>61</v>
      </c>
      <c r="B53" s="131"/>
      <c r="C53" s="131"/>
      <c r="D53" s="132"/>
      <c r="E53" s="132"/>
      <c r="F53" s="132"/>
      <c r="G53" s="132"/>
      <c r="H53" s="132"/>
      <c r="I53" s="132"/>
      <c r="J53" s="132"/>
      <c r="K53" s="132"/>
      <c r="L53" s="132"/>
      <c r="M53" s="132"/>
      <c r="N53" s="132"/>
      <c r="O53" s="132"/>
      <c r="P53" s="132"/>
    </row>
    <row r="54" spans="1:16" s="82" customFormat="1" ht="16.5" thickTop="1" x14ac:dyDescent="0.25"/>
    <row r="55" spans="1:16" s="82" customFormat="1" ht="15.75" x14ac:dyDescent="0.25">
      <c r="A55" s="605"/>
      <c r="B55" s="605"/>
      <c r="C55" s="605"/>
      <c r="D55" s="605"/>
      <c r="E55" s="605"/>
      <c r="F55" s="605"/>
      <c r="G55" s="605"/>
      <c r="H55" s="605"/>
      <c r="I55" s="605"/>
      <c r="J55" s="605"/>
      <c r="K55" s="605"/>
      <c r="L55" s="605"/>
      <c r="M55" s="605"/>
      <c r="N55" s="605"/>
      <c r="O55" s="605"/>
      <c r="P55" s="605"/>
    </row>
    <row r="56" spans="1:16" s="82" customFormat="1" ht="15.75" x14ac:dyDescent="0.25">
      <c r="A56" s="605"/>
      <c r="B56" s="605"/>
      <c r="C56" s="605"/>
      <c r="D56" s="605"/>
      <c r="E56" s="605"/>
      <c r="F56" s="605"/>
      <c r="G56" s="605"/>
      <c r="H56" s="605"/>
      <c r="I56" s="605"/>
      <c r="J56" s="605"/>
      <c r="K56" s="605"/>
      <c r="L56" s="605"/>
      <c r="M56" s="605"/>
      <c r="N56" s="605"/>
      <c r="O56" s="605"/>
      <c r="P56" s="605"/>
    </row>
    <row r="57" spans="1:16" s="82" customFormat="1" ht="15.75" x14ac:dyDescent="0.25">
      <c r="A57" s="605"/>
      <c r="B57" s="605"/>
      <c r="C57" s="605"/>
      <c r="D57" s="605"/>
      <c r="E57" s="605"/>
      <c r="F57" s="605"/>
      <c r="G57" s="605"/>
      <c r="H57" s="605"/>
      <c r="I57" s="605"/>
      <c r="J57" s="605"/>
      <c r="K57" s="605"/>
      <c r="L57" s="605"/>
      <c r="M57" s="605"/>
      <c r="N57" s="605"/>
      <c r="O57" s="605"/>
      <c r="P57" s="605"/>
    </row>
    <row r="58" spans="1:16" s="82" customFormat="1" ht="15.75" x14ac:dyDescent="0.25">
      <c r="A58" s="605"/>
      <c r="B58" s="605"/>
      <c r="C58" s="605"/>
      <c r="D58" s="605"/>
      <c r="E58" s="605"/>
      <c r="F58" s="605"/>
      <c r="G58" s="605"/>
      <c r="H58" s="605"/>
      <c r="I58" s="605"/>
      <c r="J58" s="605"/>
      <c r="K58" s="605"/>
      <c r="L58" s="605"/>
      <c r="M58" s="605"/>
      <c r="N58" s="605"/>
      <c r="O58" s="605"/>
      <c r="P58" s="605"/>
    </row>
    <row r="59" spans="1:16" s="82" customFormat="1" ht="15.75" x14ac:dyDescent="0.25">
      <c r="A59" s="605"/>
      <c r="B59" s="605"/>
      <c r="C59" s="605"/>
      <c r="D59" s="605"/>
      <c r="E59" s="605"/>
      <c r="F59" s="605"/>
      <c r="G59" s="605"/>
      <c r="H59" s="605"/>
      <c r="I59" s="605"/>
      <c r="J59" s="605"/>
      <c r="K59" s="605"/>
      <c r="L59" s="605"/>
      <c r="M59" s="605"/>
      <c r="N59" s="605"/>
      <c r="O59" s="605"/>
      <c r="P59" s="605"/>
    </row>
    <row r="60" spans="1:16" s="82" customFormat="1" ht="15.75" x14ac:dyDescent="0.25">
      <c r="A60" s="605"/>
      <c r="B60" s="605"/>
      <c r="C60" s="605"/>
      <c r="D60" s="605"/>
      <c r="E60" s="605"/>
      <c r="F60" s="605"/>
      <c r="G60" s="605"/>
      <c r="H60" s="605"/>
      <c r="I60" s="605"/>
      <c r="J60" s="605"/>
      <c r="K60" s="605"/>
      <c r="L60" s="605"/>
      <c r="M60" s="605"/>
      <c r="N60" s="605"/>
      <c r="O60" s="605"/>
      <c r="P60" s="605"/>
    </row>
    <row r="61" spans="1:16" s="82" customFormat="1" ht="15.75" x14ac:dyDescent="0.25">
      <c r="A61" s="605"/>
      <c r="B61" s="605"/>
      <c r="C61" s="605"/>
      <c r="D61" s="605"/>
      <c r="E61" s="605"/>
      <c r="F61" s="605"/>
      <c r="G61" s="605"/>
      <c r="H61" s="605"/>
      <c r="I61" s="605"/>
      <c r="J61" s="605"/>
      <c r="K61" s="605"/>
      <c r="L61" s="605"/>
      <c r="M61" s="605"/>
      <c r="N61" s="605"/>
      <c r="O61" s="605"/>
      <c r="P61" s="605"/>
    </row>
    <row r="62" spans="1:16" s="82" customFormat="1" ht="15.75" x14ac:dyDescent="0.25">
      <c r="A62" s="605"/>
      <c r="B62" s="605"/>
      <c r="C62" s="605"/>
      <c r="D62" s="605"/>
      <c r="E62" s="605"/>
      <c r="F62" s="605"/>
      <c r="G62" s="605"/>
      <c r="H62" s="605"/>
      <c r="I62" s="605"/>
      <c r="J62" s="605"/>
      <c r="K62" s="605"/>
      <c r="L62" s="605"/>
      <c r="M62" s="605"/>
      <c r="N62" s="605"/>
      <c r="O62" s="605"/>
      <c r="P62" s="605"/>
    </row>
    <row r="63" spans="1:16" s="82" customFormat="1" ht="15.75" x14ac:dyDescent="0.25">
      <c r="A63" s="605"/>
      <c r="B63" s="605"/>
      <c r="C63" s="605"/>
      <c r="D63" s="605"/>
      <c r="E63" s="605"/>
      <c r="F63" s="605"/>
      <c r="G63" s="605"/>
      <c r="H63" s="605"/>
      <c r="I63" s="605"/>
      <c r="J63" s="605"/>
      <c r="K63" s="605"/>
      <c r="L63" s="605"/>
      <c r="M63" s="605"/>
      <c r="N63" s="605"/>
      <c r="O63" s="605"/>
      <c r="P63" s="605"/>
    </row>
    <row r="64" spans="1:16" s="82" customFormat="1" ht="15.75" x14ac:dyDescent="0.25">
      <c r="A64" s="605"/>
      <c r="B64" s="605"/>
      <c r="C64" s="605"/>
      <c r="D64" s="605"/>
      <c r="E64" s="605"/>
      <c r="F64" s="605"/>
      <c r="G64" s="605"/>
      <c r="H64" s="605"/>
      <c r="I64" s="605"/>
      <c r="J64" s="605"/>
      <c r="K64" s="605"/>
      <c r="L64" s="605"/>
      <c r="M64" s="605"/>
      <c r="N64" s="605"/>
      <c r="O64" s="605"/>
      <c r="P64" s="605"/>
    </row>
    <row r="65" s="82" customFormat="1" ht="15.75" x14ac:dyDescent="0.25"/>
    <row r="66" s="82" customFormat="1" ht="15.75" x14ac:dyDescent="0.25"/>
    <row r="67" s="82" customFormat="1" ht="15.75" x14ac:dyDescent="0.25"/>
    <row r="68" s="82" customFormat="1" ht="15.75" x14ac:dyDescent="0.25"/>
  </sheetData>
  <mergeCells count="14">
    <mergeCell ref="C3:L3"/>
    <mergeCell ref="C4:L4"/>
    <mergeCell ref="C5:L5"/>
    <mergeCell ref="C6:L6"/>
    <mergeCell ref="A61:P61"/>
    <mergeCell ref="A62:P62"/>
    <mergeCell ref="A63:P63"/>
    <mergeCell ref="A64:P64"/>
    <mergeCell ref="A55:P55"/>
    <mergeCell ref="A56:P56"/>
    <mergeCell ref="A57:P57"/>
    <mergeCell ref="A58:P58"/>
    <mergeCell ref="A59:P59"/>
    <mergeCell ref="A60:P60"/>
  </mergeCells>
  <phoneticPr fontId="36" type="noConversion"/>
  <printOptions horizontalCentered="1"/>
  <pageMargins left="0.25" right="0.25" top="0.75" bottom="0.75" header="0.25" footer="0.25"/>
  <pageSetup scale="34" orientation="landscape" horizontalDpi="1200" verticalDpi="1200" r:id="rId1"/>
  <headerFooter>
    <oddFooter>&amp;L2026 IND &amp;&amp; SG ACA MEDICAL RATE FILINGS -- COMMON EXHIBITS&amp;R04/07/2025</oddFooter>
  </headerFooter>
  <ignoredErrors>
    <ignoredError sqref="K10:N21 K23:N33 K35:N45" calculatedColumn="1"/>
  </ignoredErrors>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68EA6-A23E-4F5B-882B-F3B1092DAD6E}">
  <sheetPr>
    <tabColor theme="0" tint="-0.499984740745262"/>
    <pageSetUpPr fitToPage="1"/>
  </sheetPr>
  <dimension ref="A1:AD69"/>
  <sheetViews>
    <sheetView showGridLines="0" zoomScale="70" zoomScaleNormal="70" workbookViewId="0">
      <pane xSplit="1" ySplit="7" topLeftCell="B8" activePane="bottomRight" state="frozen"/>
      <selection pane="topRight"/>
      <selection pane="bottomLeft"/>
      <selection pane="bottomRight" activeCell="B8" sqref="B8"/>
    </sheetView>
  </sheetViews>
  <sheetFormatPr defaultColWidth="18.7109375" defaultRowHeight="15" x14ac:dyDescent="0.25"/>
  <cols>
    <col min="1" max="1" width="19.7109375" customWidth="1"/>
    <col min="2" max="2" width="20.42578125" customWidth="1"/>
    <col min="3" max="3" width="21.5703125" customWidth="1"/>
    <col min="4" max="4" width="21.28515625" customWidth="1"/>
    <col min="5" max="5" width="19.5703125" customWidth="1"/>
    <col min="9" max="9" width="22" customWidth="1"/>
    <col min="10" max="10" width="19.85546875" customWidth="1"/>
    <col min="12" max="12" width="20.5703125" customWidth="1"/>
    <col min="16" max="16" width="18.7109375" customWidth="1"/>
    <col min="17" max="17" width="20.140625" customWidth="1"/>
    <col min="18" max="18" width="21.85546875" customWidth="1"/>
    <col min="20" max="20" width="21.28515625" customWidth="1"/>
    <col min="21" max="21" width="3.7109375" customWidth="1"/>
    <col min="22" max="22" width="100.28515625" customWidth="1"/>
    <col min="23" max="23" width="3.7109375" customWidth="1"/>
    <col min="24" max="24" width="21.28515625" customWidth="1"/>
    <col min="25" max="25" width="19.140625" customWidth="1"/>
    <col min="26" max="26" width="18.140625" customWidth="1"/>
    <col min="27" max="27" width="13.5703125" customWidth="1"/>
  </cols>
  <sheetData>
    <row r="1" spans="1:30" ht="26.25" x14ac:dyDescent="0.4">
      <c r="A1" s="270" t="s">
        <v>145</v>
      </c>
    </row>
    <row r="2" spans="1:30" ht="21" x14ac:dyDescent="0.35">
      <c r="A2" s="571" t="s">
        <v>118</v>
      </c>
      <c r="B2" s="227"/>
      <c r="C2" s="227"/>
      <c r="D2" s="227"/>
      <c r="E2" s="227"/>
    </row>
    <row r="3" spans="1:30" ht="15.75" x14ac:dyDescent="0.25">
      <c r="A3" s="285" t="s">
        <v>119</v>
      </c>
      <c r="B3" s="227"/>
      <c r="C3" s="227"/>
      <c r="D3" s="227"/>
      <c r="E3" s="227"/>
    </row>
    <row r="4" spans="1:30" ht="21" x14ac:dyDescent="0.35">
      <c r="A4" s="269" t="s">
        <v>38</v>
      </c>
      <c r="B4" s="98"/>
      <c r="C4" s="619" t="str">
        <f>CarrierName</f>
        <v>ABC Company</v>
      </c>
      <c r="D4" s="620"/>
      <c r="E4" s="620"/>
      <c r="F4" s="620"/>
      <c r="G4" s="620"/>
      <c r="H4" s="620"/>
      <c r="I4" s="620"/>
      <c r="J4" s="620"/>
      <c r="K4" s="620"/>
      <c r="L4" s="620"/>
    </row>
    <row r="5" spans="1:30" ht="21" x14ac:dyDescent="0.35">
      <c r="A5" s="269" t="s">
        <v>0</v>
      </c>
      <c r="B5" s="98"/>
      <c r="C5" s="619" t="str">
        <f>Market</f>
        <v>Individual</v>
      </c>
      <c r="D5" s="620"/>
      <c r="E5" s="620"/>
      <c r="F5" s="620"/>
      <c r="G5" s="620"/>
      <c r="H5" s="620"/>
      <c r="I5" s="620"/>
      <c r="J5" s="620"/>
      <c r="K5" s="620"/>
      <c r="L5" s="620"/>
    </row>
    <row r="6" spans="1:30" ht="21" x14ac:dyDescent="0.35">
      <c r="A6" s="269" t="s">
        <v>40</v>
      </c>
      <c r="B6" s="98"/>
      <c r="C6" s="619">
        <f>PlanYear</f>
        <v>2026</v>
      </c>
      <c r="D6" s="620"/>
      <c r="E6" s="620"/>
      <c r="F6" s="620"/>
      <c r="G6" s="620"/>
      <c r="H6" s="620"/>
      <c r="I6" s="620"/>
      <c r="J6" s="620"/>
      <c r="K6" s="620"/>
      <c r="L6" s="620"/>
    </row>
    <row r="7" spans="1:30" ht="21" x14ac:dyDescent="0.35">
      <c r="A7" s="269" t="s">
        <v>41</v>
      </c>
      <c r="B7" s="98"/>
      <c r="C7" s="619">
        <f>ExperYear</f>
        <v>2024</v>
      </c>
      <c r="D7" s="620"/>
      <c r="E7" s="620"/>
      <c r="F7" s="620"/>
      <c r="G7" s="620"/>
      <c r="H7" s="620"/>
      <c r="I7" s="620"/>
      <c r="J7" s="620"/>
      <c r="K7" s="620"/>
      <c r="L7" s="620"/>
      <c r="X7" s="228" t="s">
        <v>177</v>
      </c>
      <c r="Y7" s="273"/>
      <c r="Z7" s="273"/>
      <c r="AA7" s="273"/>
      <c r="AB7" s="273"/>
      <c r="AC7" s="273"/>
      <c r="AD7" s="273"/>
    </row>
    <row r="8" spans="1:30" s="82" customFormat="1" ht="15.75" x14ac:dyDescent="0.25">
      <c r="K8"/>
      <c r="L8"/>
      <c r="M8"/>
      <c r="N8"/>
      <c r="O8"/>
      <c r="P8"/>
      <c r="Q8"/>
      <c r="X8" s="229"/>
      <c r="Y8" s="282" t="s">
        <v>178</v>
      </c>
      <c r="Z8" s="282" t="s">
        <v>179</v>
      </c>
      <c r="AA8" s="229"/>
      <c r="AB8" s="229"/>
      <c r="AC8" s="229"/>
      <c r="AD8" s="229"/>
    </row>
    <row r="9" spans="1:30" s="82" customFormat="1" ht="21" x14ac:dyDescent="0.35">
      <c r="A9" s="269" t="s">
        <v>146</v>
      </c>
      <c r="K9" s="362" t="s">
        <v>147</v>
      </c>
      <c r="L9" s="362"/>
      <c r="M9" s="362"/>
      <c r="N9" s="362"/>
      <c r="O9" s="362"/>
      <c r="P9"/>
      <c r="Q9"/>
      <c r="X9" s="229"/>
      <c r="Y9" s="230">
        <v>8.5000000000000006E-2</v>
      </c>
      <c r="Z9" s="230">
        <v>5.0000000000000001E-3</v>
      </c>
      <c r="AA9" s="229"/>
      <c r="AB9" s="229"/>
      <c r="AC9" s="229"/>
      <c r="AD9" s="229"/>
    </row>
    <row r="10" spans="1:30" s="236" customFormat="1" ht="103.5" customHeight="1" x14ac:dyDescent="0.25">
      <c r="A10" s="315" t="s">
        <v>148</v>
      </c>
      <c r="B10" s="316" t="s">
        <v>43</v>
      </c>
      <c r="C10" s="316" t="s">
        <v>149</v>
      </c>
      <c r="D10" s="316" t="s">
        <v>150</v>
      </c>
      <c r="E10" s="316" t="s">
        <v>49</v>
      </c>
      <c r="F10" s="316" t="s">
        <v>151</v>
      </c>
      <c r="G10" s="316" t="s">
        <v>152</v>
      </c>
      <c r="H10" s="316" t="s">
        <v>153</v>
      </c>
      <c r="I10" s="316" t="s">
        <v>154</v>
      </c>
      <c r="J10" s="316" t="s">
        <v>155</v>
      </c>
      <c r="K10" s="317" t="s">
        <v>156</v>
      </c>
      <c r="L10" s="317" t="s">
        <v>157</v>
      </c>
      <c r="M10" s="317" t="s">
        <v>158</v>
      </c>
      <c r="N10" s="317" t="s">
        <v>159</v>
      </c>
      <c r="O10" s="317" t="s">
        <v>160</v>
      </c>
      <c r="P10" s="316" t="s">
        <v>161</v>
      </c>
      <c r="Q10" s="316" t="s">
        <v>162</v>
      </c>
      <c r="R10" s="316" t="s">
        <v>163</v>
      </c>
      <c r="S10" s="318" t="s">
        <v>164</v>
      </c>
      <c r="T10" s="318" t="s">
        <v>165</v>
      </c>
      <c r="X10" s="232" t="s">
        <v>148</v>
      </c>
      <c r="Y10" s="233" t="s">
        <v>180</v>
      </c>
      <c r="Z10" s="233" t="s">
        <v>179</v>
      </c>
      <c r="AA10" s="233" t="s">
        <v>181</v>
      </c>
      <c r="AB10" s="234"/>
      <c r="AC10" s="234"/>
      <c r="AD10" s="235"/>
    </row>
    <row r="11" spans="1:30" s="236" customFormat="1" ht="15.75" x14ac:dyDescent="0.25">
      <c r="A11" s="237">
        <f>IF(RIGHT(A12,2)="01",A12-89,A12-1)*1</f>
        <v>202201</v>
      </c>
      <c r="B11" s="238">
        <v>100000</v>
      </c>
      <c r="C11" s="345">
        <f ca="1">tbl_Exh3.110[[#This Row],[Member Months]]*300*(AA11)*tbl_Exh3.110[[#This Row],[Accumulated Adjustments]]+tbl_Exh3.110[[#This Row],[One-Time Adjustment for High Claims (Non-Predictive Claims)]]+tbl_Exh3.110[[#This Row],[One-Time Adjustment for HCRP Receipts]]</f>
        <v>29966402.607994705</v>
      </c>
      <c r="D11" s="239">
        <f t="shared" ref="D11:D46" si="0">0.985</f>
        <v>0.98499999999999999</v>
      </c>
      <c r="E11" s="351">
        <f ca="1">tbl_Exh3.110[[#This Row],[Allowed Claims 
(as of 3/31/2025)]]/tbl_Exh3.110[[#This Row],[Allowed Claims Completion factor (based on IBNP estimates)]]</f>
        <v>30422743.764461629</v>
      </c>
      <c r="F11" s="355"/>
      <c r="G11" s="355"/>
      <c r="H11" s="345">
        <f ca="1">0.01*tbl_Exh3.110[[#This Row],[Ultimate Allowed Claims]]</f>
        <v>304227.43764461629</v>
      </c>
      <c r="I11" s="351">
        <f ca="1">tbl_Exh3.110[[#This Row],[Ultimate Allowed Claims]]-tbl_Exh3.110[[#This Row],[One-Time Adjustment for High Claims (Non-Predictive Claims)]]-tbl_Exh3.110[[#This Row],[One-Time Adjustment for HCRP Receipts]]-tbl_Exh3.110[[#This Row],[Non-EHB Allowed Claims]]</f>
        <v>30118516.326817013</v>
      </c>
      <c r="J11" s="323">
        <f ca="1">tbl_Exh3.110[[#This Row],[Predictive Ultimate Allowed EHB Claims]]/tbl_Exh3.110[[#This Row],[Member Months]]</f>
        <v>301.18516326817013</v>
      </c>
      <c r="K11" s="240">
        <v>1</v>
      </c>
      <c r="L11" s="240">
        <v>1</v>
      </c>
      <c r="M11" s="240">
        <v>1</v>
      </c>
      <c r="N11" s="240">
        <v>1</v>
      </c>
      <c r="O11" s="240">
        <f>PRODUCT(tbl_Exh3.110[[#This Row],[Morbidity Adjustment]:[Other Adjustments]])</f>
        <v>1</v>
      </c>
      <c r="P11" s="240" cm="1">
        <f t="array" ref="P11">PRODUCT(IF(VALUE(RIGHT(tbl_Exh3.110[Incurred Date (YYYYMM)],2))=VALUE(RIGHT(tbl_Exh3.110[[#This Row],[Incurred Date (YYYYMM)]],2)),IF(VALUE(LEFT(tbl_Exh3.110[Incurred Date (YYYYMM)],4))&lt;=VALUE(LEFT(tbl_Exh3.110[[#This Row],[Incurred Date (YYYYMM)]],4)),tbl_Exh3.110[Combined Adjustment],1),1))</f>
        <v>1</v>
      </c>
      <c r="Q11" s="240">
        <f>INDEX(tbl_Exh3.110[Accumulated Adjustments],MATCH(VALUE(SUBSTITUTE(tbl_Exh3.110[[#This Row],[Incurred Date (YYYYMM)]],LEFT(tbl_Exh3.110[[#This Row],[Incurred Date (YYYYMM)]],4),ExperYear)),tbl_Exh3.110[Incurred Date (YYYYMM)],0))/tbl_Exh3.110[[#This Row],[Accumulated Adjustments]]</f>
        <v>1.0568908869465956</v>
      </c>
      <c r="R11" s="241">
        <f ca="1">tbl_Exh3.110[[#This Row],[Allowable Rating Adjustment Normalization Factor]]*tbl_Exh3.110[[#This Row],[Predictive Ultimate Allowed EHB Claims PMPM]]</f>
        <v>318.31985434165153</v>
      </c>
      <c r="S11" s="242"/>
      <c r="T11" s="243"/>
      <c r="U11" s="281"/>
      <c r="V11" s="281"/>
      <c r="W11" s="281"/>
      <c r="X11" s="244">
        <v>202201</v>
      </c>
      <c r="Y11" s="245">
        <v>1</v>
      </c>
      <c r="Z11" s="245">
        <f t="shared" ref="Z11:Z46" ca="1" si="1">$Z$9*(RAND()*-1)</f>
        <v>-1.1199130668431046E-3</v>
      </c>
      <c r="AA11" s="245">
        <f t="shared" ref="AA11:AA46" ca="1" si="2">Y11+Z11</f>
        <v>0.99888008693315689</v>
      </c>
      <c r="AB11" s="234"/>
      <c r="AC11" s="234"/>
      <c r="AD11" s="234"/>
    </row>
    <row r="12" spans="1:30" s="236" customFormat="1" ht="15.75" x14ac:dyDescent="0.25">
      <c r="A12" s="237">
        <f t="shared" ref="A12:A45" si="3">IF(RIGHT(A13,2)="01",A13-89,A13-1)*1</f>
        <v>202202</v>
      </c>
      <c r="B12" s="238">
        <v>100000</v>
      </c>
      <c r="C12" s="345">
        <f ca="1">tbl_Exh3.110[[#This Row],[Member Months]]*300*(AA12)*tbl_Exh3.110[[#This Row],[Accumulated Adjustments]]+tbl_Exh3.110[[#This Row],[One-Time Adjustment for High Claims (Non-Predictive Claims)]]+tbl_Exh3.110[[#This Row],[One-Time Adjustment for HCRP Receipts]]</f>
        <v>29860095.729501769</v>
      </c>
      <c r="D12" s="239">
        <f t="shared" si="0"/>
        <v>0.98499999999999999</v>
      </c>
      <c r="E12" s="351">
        <f ca="1">tbl_Exh3.110[[#This Row],[Allowed Claims 
(as of 3/31/2025)]]/tbl_Exh3.110[[#This Row],[Allowed Claims Completion factor (based on IBNP estimates)]]</f>
        <v>30314817.999494184</v>
      </c>
      <c r="F12" s="355"/>
      <c r="G12" s="355"/>
      <c r="H12" s="345">
        <f ca="1">0.01*tbl_Exh3.110[[#This Row],[Ultimate Allowed Claims]]</f>
        <v>303148.17999494186</v>
      </c>
      <c r="I12" s="351">
        <f ca="1">tbl_Exh3.110[[#This Row],[Ultimate Allowed Claims]]-tbl_Exh3.110[[#This Row],[One-Time Adjustment for High Claims (Non-Predictive Claims)]]-tbl_Exh3.110[[#This Row],[One-Time Adjustment for HCRP Receipts]]-tbl_Exh3.110[[#This Row],[Non-EHB Allowed Claims]]</f>
        <v>30011669.819499243</v>
      </c>
      <c r="J12" s="323">
        <f ca="1">tbl_Exh3.110[[#This Row],[Predictive Ultimate Allowed EHB Claims]]/tbl_Exh3.110[[#This Row],[Member Months]]</f>
        <v>300.11669819499241</v>
      </c>
      <c r="K12" s="240">
        <v>1</v>
      </c>
      <c r="L12" s="240">
        <v>1</v>
      </c>
      <c r="M12" s="240">
        <v>1</v>
      </c>
      <c r="N12" s="240">
        <v>1</v>
      </c>
      <c r="O12" s="240">
        <f>PRODUCT(tbl_Exh3.110[[#This Row],[Morbidity Adjustment]:[Other Adjustments]])</f>
        <v>1</v>
      </c>
      <c r="P12" s="240" cm="1">
        <f t="array" ref="P12">PRODUCT(IF(VALUE(RIGHT(tbl_Exh3.110[Incurred Date (YYYYMM)],2))=VALUE(RIGHT(tbl_Exh3.110[[#This Row],[Incurred Date (YYYYMM)]],2)),IF(VALUE(LEFT(tbl_Exh3.110[Incurred Date (YYYYMM)],4))&lt;=VALUE(LEFT(tbl_Exh3.110[[#This Row],[Incurred Date (YYYYMM)]],4)),tbl_Exh3.110[Combined Adjustment],1),1))</f>
        <v>1</v>
      </c>
      <c r="Q12" s="240">
        <f>INDEX(tbl_Exh3.110[Accumulated Adjustments],MATCH(VALUE(SUBSTITUTE(tbl_Exh3.110[[#This Row],[Incurred Date (YYYYMM)]],LEFT(tbl_Exh3.110[[#This Row],[Incurred Date (YYYYMM)]],4),ExperYear)),tbl_Exh3.110[Incurred Date (YYYYMM)],0))/tbl_Exh3.110[[#This Row],[Accumulated Adjustments]]</f>
        <v>1.0568908869465956</v>
      </c>
      <c r="R12" s="241">
        <f ca="1">tbl_Exh3.110[[#This Row],[Allowable Rating Adjustment Normalization Factor]]*tbl_Exh3.110[[#This Row],[Predictive Ultimate Allowed EHB Claims PMPM]]</f>
        <v>317.1906033427893</v>
      </c>
      <c r="S12" s="242"/>
      <c r="T12" s="243"/>
      <c r="U12" s="281"/>
      <c r="V12" s="281"/>
      <c r="W12" s="281"/>
      <c r="X12" s="246">
        <v>202202</v>
      </c>
      <c r="Y12" s="247">
        <f>Y11</f>
        <v>1</v>
      </c>
      <c r="Z12" s="247">
        <f t="shared" ca="1" si="1"/>
        <v>-4.6634756832743748E-3</v>
      </c>
      <c r="AA12" s="247">
        <f t="shared" ca="1" si="2"/>
        <v>0.99533652431672559</v>
      </c>
      <c r="AB12" s="248"/>
      <c r="AC12" s="248"/>
      <c r="AD12" s="248"/>
    </row>
    <row r="13" spans="1:30" s="236" customFormat="1" ht="15.75" x14ac:dyDescent="0.25">
      <c r="A13" s="237">
        <f t="shared" si="3"/>
        <v>202203</v>
      </c>
      <c r="B13" s="238">
        <v>100000</v>
      </c>
      <c r="C13" s="345">
        <f ca="1">tbl_Exh3.110[[#This Row],[Member Months]]*300*(AA13)*tbl_Exh3.110[[#This Row],[Accumulated Adjustments]]+tbl_Exh3.110[[#This Row],[One-Time Adjustment for High Claims (Non-Predictive Claims)]]+tbl_Exh3.110[[#This Row],[One-Time Adjustment for HCRP Receipts]]</f>
        <v>29984733.134433385</v>
      </c>
      <c r="D13" s="239">
        <f t="shared" si="0"/>
        <v>0.98499999999999999</v>
      </c>
      <c r="E13" s="351">
        <f ca="1">tbl_Exh3.110[[#This Row],[Allowed Claims 
(as of 3/31/2025)]]/tbl_Exh3.110[[#This Row],[Allowed Claims Completion factor (based on IBNP estimates)]]</f>
        <v>30441353.435972981</v>
      </c>
      <c r="F13" s="355"/>
      <c r="G13" s="355"/>
      <c r="H13" s="345">
        <f ca="1">0.01*tbl_Exh3.110[[#This Row],[Ultimate Allowed Claims]]</f>
        <v>304413.53435972979</v>
      </c>
      <c r="I13" s="351">
        <f ca="1">tbl_Exh3.110[[#This Row],[Ultimate Allowed Claims]]-tbl_Exh3.110[[#This Row],[One-Time Adjustment for High Claims (Non-Predictive Claims)]]-tbl_Exh3.110[[#This Row],[One-Time Adjustment for HCRP Receipts]]-tbl_Exh3.110[[#This Row],[Non-EHB Allowed Claims]]</f>
        <v>30136939.90161325</v>
      </c>
      <c r="J13" s="323">
        <f ca="1">tbl_Exh3.110[[#This Row],[Predictive Ultimate Allowed EHB Claims]]/tbl_Exh3.110[[#This Row],[Member Months]]</f>
        <v>301.36939901613249</v>
      </c>
      <c r="K13" s="240">
        <v>1</v>
      </c>
      <c r="L13" s="240">
        <v>1</v>
      </c>
      <c r="M13" s="240">
        <v>1</v>
      </c>
      <c r="N13" s="240">
        <v>1</v>
      </c>
      <c r="O13" s="240">
        <f>PRODUCT(tbl_Exh3.110[[#This Row],[Morbidity Adjustment]:[Other Adjustments]])</f>
        <v>1</v>
      </c>
      <c r="P13" s="240" cm="1">
        <f t="array" ref="P13">PRODUCT(IF(VALUE(RIGHT(tbl_Exh3.110[Incurred Date (YYYYMM)],2))=VALUE(RIGHT(tbl_Exh3.110[[#This Row],[Incurred Date (YYYYMM)]],2)),IF(VALUE(LEFT(tbl_Exh3.110[Incurred Date (YYYYMM)],4))&lt;=VALUE(LEFT(tbl_Exh3.110[[#This Row],[Incurred Date (YYYYMM)]],4)),tbl_Exh3.110[Combined Adjustment],1),1))</f>
        <v>1</v>
      </c>
      <c r="Q13" s="240">
        <f>INDEX(tbl_Exh3.110[Accumulated Adjustments],MATCH(VALUE(SUBSTITUTE(tbl_Exh3.110[[#This Row],[Incurred Date (YYYYMM)]],LEFT(tbl_Exh3.110[[#This Row],[Incurred Date (YYYYMM)]],4),ExperYear)),tbl_Exh3.110[Incurred Date (YYYYMM)],0))/tbl_Exh3.110[[#This Row],[Accumulated Adjustments]]</f>
        <v>1.0568908869465956</v>
      </c>
      <c r="R13" s="241">
        <f ca="1">tbl_Exh3.110[[#This Row],[Allowable Rating Adjustment Normalization Factor]]*tbl_Exh3.110[[#This Row],[Predictive Ultimate Allowed EHB Claims PMPM]]</f>
        <v>318.51457142472276</v>
      </c>
      <c r="S13" s="242"/>
      <c r="T13" s="243"/>
      <c r="U13" s="281"/>
      <c r="V13" s="281"/>
      <c r="W13" s="281"/>
      <c r="X13" s="246">
        <v>202203</v>
      </c>
      <c r="Y13" s="247">
        <f t="shared" ref="Y13:Y21" si="4">Y12</f>
        <v>1</v>
      </c>
      <c r="Z13" s="247">
        <f t="shared" ca="1" si="1"/>
        <v>-5.0889551888723124E-4</v>
      </c>
      <c r="AA13" s="247">
        <f t="shared" ca="1" si="2"/>
        <v>0.99949110448111278</v>
      </c>
      <c r="AB13" s="248"/>
      <c r="AC13" s="248"/>
      <c r="AD13" s="248"/>
    </row>
    <row r="14" spans="1:30" s="236" customFormat="1" ht="15.75" x14ac:dyDescent="0.25">
      <c r="A14" s="237">
        <f t="shared" si="3"/>
        <v>202204</v>
      </c>
      <c r="B14" s="238">
        <v>100000</v>
      </c>
      <c r="C14" s="345">
        <f ca="1">tbl_Exh3.110[[#This Row],[Member Months]]*300*(AA14)*tbl_Exh3.110[[#This Row],[Accumulated Adjustments]]+tbl_Exh3.110[[#This Row],[One-Time Adjustment for High Claims (Non-Predictive Claims)]]+tbl_Exh3.110[[#This Row],[One-Time Adjustment for HCRP Receipts]]</f>
        <v>29990125.5492125</v>
      </c>
      <c r="D14" s="239">
        <f t="shared" si="0"/>
        <v>0.98499999999999999</v>
      </c>
      <c r="E14" s="351">
        <f ca="1">tbl_Exh3.110[[#This Row],[Allowed Claims 
(as of 3/31/2025)]]/tbl_Exh3.110[[#This Row],[Allowed Claims Completion factor (based on IBNP estimates)]]</f>
        <v>30446827.968743656</v>
      </c>
      <c r="F14" s="355"/>
      <c r="G14" s="355"/>
      <c r="H14" s="345">
        <f ca="1">0.01*tbl_Exh3.110[[#This Row],[Ultimate Allowed Claims]]</f>
        <v>304468.27968743659</v>
      </c>
      <c r="I14" s="351">
        <f ca="1">tbl_Exh3.110[[#This Row],[Ultimate Allowed Claims]]-tbl_Exh3.110[[#This Row],[One-Time Adjustment for High Claims (Non-Predictive Claims)]]-tbl_Exh3.110[[#This Row],[One-Time Adjustment for HCRP Receipts]]-tbl_Exh3.110[[#This Row],[Non-EHB Allowed Claims]]</f>
        <v>30142359.689056218</v>
      </c>
      <c r="J14" s="323">
        <f ca="1">tbl_Exh3.110[[#This Row],[Predictive Ultimate Allowed EHB Claims]]/tbl_Exh3.110[[#This Row],[Member Months]]</f>
        <v>301.42359689056218</v>
      </c>
      <c r="K14" s="240">
        <v>1</v>
      </c>
      <c r="L14" s="240">
        <v>1</v>
      </c>
      <c r="M14" s="240">
        <v>1</v>
      </c>
      <c r="N14" s="240">
        <v>1</v>
      </c>
      <c r="O14" s="240">
        <f>PRODUCT(tbl_Exh3.110[[#This Row],[Morbidity Adjustment]:[Other Adjustments]])</f>
        <v>1</v>
      </c>
      <c r="P14" s="240" cm="1">
        <f t="array" ref="P14">PRODUCT(IF(VALUE(RIGHT(tbl_Exh3.110[Incurred Date (YYYYMM)],2))=VALUE(RIGHT(tbl_Exh3.110[[#This Row],[Incurred Date (YYYYMM)]],2)),IF(VALUE(LEFT(tbl_Exh3.110[Incurred Date (YYYYMM)],4))&lt;=VALUE(LEFT(tbl_Exh3.110[[#This Row],[Incurred Date (YYYYMM)]],4)),tbl_Exh3.110[Combined Adjustment],1),1))</f>
        <v>1</v>
      </c>
      <c r="Q14" s="240">
        <f>INDEX(tbl_Exh3.110[Accumulated Adjustments],MATCH(VALUE(SUBSTITUTE(tbl_Exh3.110[[#This Row],[Incurred Date (YYYYMM)]],LEFT(tbl_Exh3.110[[#This Row],[Incurred Date (YYYYMM)]],4),ExperYear)),tbl_Exh3.110[Incurred Date (YYYYMM)],0))/tbl_Exh3.110[[#This Row],[Accumulated Adjustments]]</f>
        <v>1.0568908869465956</v>
      </c>
      <c r="R14" s="241">
        <f ca="1">tbl_Exh3.110[[#This Row],[Allowable Rating Adjustment Normalization Factor]]*tbl_Exh3.110[[#This Row],[Predictive Ultimate Allowed EHB Claims PMPM]]</f>
        <v>318.57185266429934</v>
      </c>
      <c r="S14" s="242"/>
      <c r="T14" s="243"/>
      <c r="U14" s="281"/>
      <c r="V14" s="281"/>
      <c r="W14" s="281"/>
      <c r="X14" s="246">
        <v>202204</v>
      </c>
      <c r="Y14" s="247">
        <f t="shared" si="4"/>
        <v>1</v>
      </c>
      <c r="Z14" s="247">
        <f t="shared" ca="1" si="1"/>
        <v>-3.2914835958326228E-4</v>
      </c>
      <c r="AA14" s="247">
        <f t="shared" ca="1" si="2"/>
        <v>0.99967085164041669</v>
      </c>
      <c r="AB14" s="248"/>
      <c r="AC14" s="248"/>
      <c r="AD14" s="248"/>
    </row>
    <row r="15" spans="1:30" s="236" customFormat="1" ht="15.75" x14ac:dyDescent="0.25">
      <c r="A15" s="237">
        <f t="shared" si="3"/>
        <v>202205</v>
      </c>
      <c r="B15" s="238">
        <v>100000</v>
      </c>
      <c r="C15" s="345">
        <f ca="1">tbl_Exh3.110[[#This Row],[Member Months]]*300*(AA15)*tbl_Exh3.110[[#This Row],[Accumulated Adjustments]]+tbl_Exh3.110[[#This Row],[One-Time Adjustment for High Claims (Non-Predictive Claims)]]+tbl_Exh3.110[[#This Row],[One-Time Adjustment for HCRP Receipts]]</f>
        <v>29977881.274532676</v>
      </c>
      <c r="D15" s="239">
        <f t="shared" si="0"/>
        <v>0.98499999999999999</v>
      </c>
      <c r="E15" s="351">
        <f ca="1">tbl_Exh3.110[[#This Row],[Allowed Claims 
(as of 3/31/2025)]]/tbl_Exh3.110[[#This Row],[Allowed Claims Completion factor (based on IBNP estimates)]]</f>
        <v>30434397.233028099</v>
      </c>
      <c r="F15" s="355"/>
      <c r="G15" s="355"/>
      <c r="H15" s="345">
        <f ca="1">0.01*tbl_Exh3.110[[#This Row],[Ultimate Allowed Claims]]</f>
        <v>304343.97233028099</v>
      </c>
      <c r="I15" s="351">
        <f ca="1">tbl_Exh3.110[[#This Row],[Ultimate Allowed Claims]]-tbl_Exh3.110[[#This Row],[One-Time Adjustment for High Claims (Non-Predictive Claims)]]-tbl_Exh3.110[[#This Row],[One-Time Adjustment for HCRP Receipts]]-tbl_Exh3.110[[#This Row],[Non-EHB Allowed Claims]]</f>
        <v>30130053.260697819</v>
      </c>
      <c r="J15" s="323">
        <f ca="1">tbl_Exh3.110[[#This Row],[Predictive Ultimate Allowed EHB Claims]]/tbl_Exh3.110[[#This Row],[Member Months]]</f>
        <v>301.30053260697821</v>
      </c>
      <c r="K15" s="240">
        <v>1</v>
      </c>
      <c r="L15" s="240">
        <v>1</v>
      </c>
      <c r="M15" s="240">
        <v>1</v>
      </c>
      <c r="N15" s="240">
        <v>1</v>
      </c>
      <c r="O15" s="240">
        <f>PRODUCT(tbl_Exh3.110[[#This Row],[Morbidity Adjustment]:[Other Adjustments]])</f>
        <v>1</v>
      </c>
      <c r="P15" s="240" cm="1">
        <f t="array" ref="P15">PRODUCT(IF(VALUE(RIGHT(tbl_Exh3.110[Incurred Date (YYYYMM)],2))=VALUE(RIGHT(tbl_Exh3.110[[#This Row],[Incurred Date (YYYYMM)]],2)),IF(VALUE(LEFT(tbl_Exh3.110[Incurred Date (YYYYMM)],4))&lt;=VALUE(LEFT(tbl_Exh3.110[[#This Row],[Incurred Date (YYYYMM)]],4)),tbl_Exh3.110[Combined Adjustment],1),1))</f>
        <v>1</v>
      </c>
      <c r="Q15" s="240">
        <f>INDEX(tbl_Exh3.110[Accumulated Adjustments],MATCH(VALUE(SUBSTITUTE(tbl_Exh3.110[[#This Row],[Incurred Date (YYYYMM)]],LEFT(tbl_Exh3.110[[#This Row],[Incurred Date (YYYYMM)]],4),ExperYear)),tbl_Exh3.110[Incurred Date (YYYYMM)],0))/tbl_Exh3.110[[#This Row],[Accumulated Adjustments]]</f>
        <v>1.0568908869465956</v>
      </c>
      <c r="R15" s="241">
        <f ca="1">tbl_Exh3.110[[#This Row],[Allowable Rating Adjustment Normalization Factor]]*tbl_Exh3.110[[#This Row],[Predictive Ultimate Allowed EHB Claims PMPM]]</f>
        <v>318.44178714447082</v>
      </c>
      <c r="S15" s="242"/>
      <c r="T15" s="243"/>
      <c r="U15" s="281"/>
      <c r="V15" s="281"/>
      <c r="W15" s="281"/>
      <c r="X15" s="246">
        <v>202205</v>
      </c>
      <c r="Y15" s="247">
        <f t="shared" si="4"/>
        <v>1</v>
      </c>
      <c r="Z15" s="247">
        <f t="shared" ca="1" si="1"/>
        <v>-7.3729084891084378E-4</v>
      </c>
      <c r="AA15" s="247">
        <f t="shared" ca="1" si="2"/>
        <v>0.99926270915108917</v>
      </c>
      <c r="AB15" s="248"/>
      <c r="AC15" s="248"/>
      <c r="AD15" s="248"/>
    </row>
    <row r="16" spans="1:30" s="236" customFormat="1" ht="15.75" x14ac:dyDescent="0.25">
      <c r="A16" s="237">
        <f t="shared" si="3"/>
        <v>202206</v>
      </c>
      <c r="B16" s="238">
        <v>100000</v>
      </c>
      <c r="C16" s="345">
        <f ca="1">tbl_Exh3.110[[#This Row],[Member Months]]*300*(AA16)*tbl_Exh3.110[[#This Row],[Accumulated Adjustments]]+tbl_Exh3.110[[#This Row],[One-Time Adjustment for High Claims (Non-Predictive Claims)]]+tbl_Exh3.110[[#This Row],[One-Time Adjustment for HCRP Receipts]]</f>
        <v>30018203.133609142</v>
      </c>
      <c r="D16" s="239">
        <f t="shared" si="0"/>
        <v>0.98499999999999999</v>
      </c>
      <c r="E16" s="351">
        <f ca="1">tbl_Exh3.110[[#This Row],[Allowed Claims 
(as of 3/31/2025)]]/tbl_Exh3.110[[#This Row],[Allowed Claims Completion factor (based on IBNP estimates)]]</f>
        <v>30475333.130567659</v>
      </c>
      <c r="F16" s="355">
        <v>50000</v>
      </c>
      <c r="G16" s="355"/>
      <c r="H16" s="345">
        <f ca="1">0.01*tbl_Exh3.110[[#This Row],[Ultimate Allowed Claims]]</f>
        <v>304753.33130567661</v>
      </c>
      <c r="I16" s="351">
        <f ca="1">tbl_Exh3.110[[#This Row],[Ultimate Allowed Claims]]-tbl_Exh3.110[[#This Row],[One-Time Adjustment for High Claims (Non-Predictive Claims)]]-tbl_Exh3.110[[#This Row],[One-Time Adjustment for HCRP Receipts]]-tbl_Exh3.110[[#This Row],[Non-EHB Allowed Claims]]</f>
        <v>30120579.799261983</v>
      </c>
      <c r="J16" s="323">
        <f ca="1">tbl_Exh3.110[[#This Row],[Predictive Ultimate Allowed EHB Claims]]/tbl_Exh3.110[[#This Row],[Member Months]]</f>
        <v>301.20579799261981</v>
      </c>
      <c r="K16" s="240">
        <v>1</v>
      </c>
      <c r="L16" s="240">
        <v>1</v>
      </c>
      <c r="M16" s="240">
        <v>1</v>
      </c>
      <c r="N16" s="240">
        <v>1</v>
      </c>
      <c r="O16" s="240">
        <f>PRODUCT(tbl_Exh3.110[[#This Row],[Morbidity Adjustment]:[Other Adjustments]])</f>
        <v>1</v>
      </c>
      <c r="P16" s="240" cm="1">
        <f t="array" ref="P16">PRODUCT(IF(VALUE(RIGHT(tbl_Exh3.110[Incurred Date (YYYYMM)],2))=VALUE(RIGHT(tbl_Exh3.110[[#This Row],[Incurred Date (YYYYMM)]],2)),IF(VALUE(LEFT(tbl_Exh3.110[Incurred Date (YYYYMM)],4))&lt;=VALUE(LEFT(tbl_Exh3.110[[#This Row],[Incurred Date (YYYYMM)]],4)),tbl_Exh3.110[Combined Adjustment],1),1))</f>
        <v>1</v>
      </c>
      <c r="Q16" s="240">
        <f>INDEX(tbl_Exh3.110[Accumulated Adjustments],MATCH(VALUE(SUBSTITUTE(tbl_Exh3.110[[#This Row],[Incurred Date (YYYYMM)]],LEFT(tbl_Exh3.110[[#This Row],[Incurred Date (YYYYMM)]],4),ExperYear)),tbl_Exh3.110[Incurred Date (YYYYMM)],0))/tbl_Exh3.110[[#This Row],[Accumulated Adjustments]]</f>
        <v>1.0568908869465956</v>
      </c>
      <c r="R16" s="241">
        <f ca="1">tbl_Exh3.110[[#This Row],[Allowable Rating Adjustment Normalization Factor]]*tbl_Exh3.110[[#This Row],[Predictive Ultimate Allowed EHB Claims PMPM]]</f>
        <v>318.34166299387704</v>
      </c>
      <c r="S16" s="242"/>
      <c r="T16" s="243"/>
      <c r="U16" s="281"/>
      <c r="V16" s="281"/>
      <c r="W16" s="281"/>
      <c r="X16" s="246">
        <v>202206</v>
      </c>
      <c r="Y16" s="247">
        <f t="shared" si="4"/>
        <v>1</v>
      </c>
      <c r="Z16" s="247">
        <f t="shared" ca="1" si="1"/>
        <v>-1.0598955463619337E-3</v>
      </c>
      <c r="AA16" s="247">
        <f t="shared" ca="1" si="2"/>
        <v>0.99894010445363801</v>
      </c>
      <c r="AB16" s="248"/>
      <c r="AC16" s="248"/>
      <c r="AD16" s="248"/>
    </row>
    <row r="17" spans="1:30" s="236" customFormat="1" ht="15.75" x14ac:dyDescent="0.25">
      <c r="A17" s="237">
        <f t="shared" si="3"/>
        <v>202207</v>
      </c>
      <c r="B17" s="238">
        <v>100000</v>
      </c>
      <c r="C17" s="345">
        <f ca="1">tbl_Exh3.110[[#This Row],[Member Months]]*300*(AA17)*tbl_Exh3.110[[#This Row],[Accumulated Adjustments]]+tbl_Exh3.110[[#This Row],[One-Time Adjustment for High Claims (Non-Predictive Claims)]]+tbl_Exh3.110[[#This Row],[One-Time Adjustment for HCRP Receipts]]</f>
        <v>29967020.044222284</v>
      </c>
      <c r="D17" s="239">
        <f t="shared" si="0"/>
        <v>0.98499999999999999</v>
      </c>
      <c r="E17" s="351">
        <f ca="1">tbl_Exh3.110[[#This Row],[Allowed Claims 
(as of 3/31/2025)]]/tbl_Exh3.110[[#This Row],[Allowed Claims Completion factor (based on IBNP estimates)]]</f>
        <v>30423370.603271354</v>
      </c>
      <c r="F17" s="355"/>
      <c r="G17" s="355"/>
      <c r="H17" s="345">
        <f ca="1">0.01*tbl_Exh3.110[[#This Row],[Ultimate Allowed Claims]]</f>
        <v>304233.70603271353</v>
      </c>
      <c r="I17" s="351">
        <f ca="1">tbl_Exh3.110[[#This Row],[Ultimate Allowed Claims]]-tbl_Exh3.110[[#This Row],[One-Time Adjustment for High Claims (Non-Predictive Claims)]]-tbl_Exh3.110[[#This Row],[One-Time Adjustment for HCRP Receipts]]-tbl_Exh3.110[[#This Row],[Non-EHB Allowed Claims]]</f>
        <v>30119136.897238642</v>
      </c>
      <c r="J17" s="323">
        <f ca="1">tbl_Exh3.110[[#This Row],[Predictive Ultimate Allowed EHB Claims]]/tbl_Exh3.110[[#This Row],[Member Months]]</f>
        <v>301.19136897238644</v>
      </c>
      <c r="K17" s="240">
        <v>1</v>
      </c>
      <c r="L17" s="240">
        <v>1</v>
      </c>
      <c r="M17" s="240">
        <v>1</v>
      </c>
      <c r="N17" s="240">
        <v>1</v>
      </c>
      <c r="O17" s="240">
        <f>PRODUCT(tbl_Exh3.110[[#This Row],[Morbidity Adjustment]:[Other Adjustments]])</f>
        <v>1</v>
      </c>
      <c r="P17" s="240" cm="1">
        <f t="array" ref="P17">PRODUCT(IF(VALUE(RIGHT(tbl_Exh3.110[Incurred Date (YYYYMM)],2))=VALUE(RIGHT(tbl_Exh3.110[[#This Row],[Incurred Date (YYYYMM)]],2)),IF(VALUE(LEFT(tbl_Exh3.110[Incurred Date (YYYYMM)],4))&lt;=VALUE(LEFT(tbl_Exh3.110[[#This Row],[Incurred Date (YYYYMM)]],4)),tbl_Exh3.110[Combined Adjustment],1),1))</f>
        <v>1</v>
      </c>
      <c r="Q17" s="240">
        <f>INDEX(tbl_Exh3.110[Accumulated Adjustments],MATCH(VALUE(SUBSTITUTE(tbl_Exh3.110[[#This Row],[Incurred Date (YYYYMM)]],LEFT(tbl_Exh3.110[[#This Row],[Incurred Date (YYYYMM)]],4),ExperYear)),tbl_Exh3.110[Incurred Date (YYYYMM)],0))/tbl_Exh3.110[[#This Row],[Accumulated Adjustments]]</f>
        <v>1.0568908869465956</v>
      </c>
      <c r="R17" s="241">
        <f ca="1">tbl_Exh3.110[[#This Row],[Allowable Rating Adjustment Normalization Factor]]*tbl_Exh3.110[[#This Row],[Predictive Ultimate Allowed EHB Claims PMPM]]</f>
        <v>318.32641309388487</v>
      </c>
      <c r="S17" s="242"/>
      <c r="T17" s="243"/>
      <c r="U17" s="281"/>
      <c r="V17" s="281"/>
      <c r="W17" s="281"/>
      <c r="X17" s="246">
        <v>202207</v>
      </c>
      <c r="Y17" s="247">
        <f t="shared" si="4"/>
        <v>1</v>
      </c>
      <c r="Z17" s="247">
        <f t="shared" ca="1" si="1"/>
        <v>-1.0993318592571416E-3</v>
      </c>
      <c r="AA17" s="247">
        <f t="shared" ca="1" si="2"/>
        <v>0.99890066814074285</v>
      </c>
      <c r="AB17" s="248"/>
      <c r="AC17" s="248"/>
      <c r="AD17" s="248"/>
    </row>
    <row r="18" spans="1:30" s="236" customFormat="1" ht="15.75" x14ac:dyDescent="0.25">
      <c r="A18" s="237">
        <f t="shared" si="3"/>
        <v>202208</v>
      </c>
      <c r="B18" s="238">
        <v>100000</v>
      </c>
      <c r="C18" s="345">
        <f ca="1">tbl_Exh3.110[[#This Row],[Member Months]]*300*(AA18)*tbl_Exh3.110[[#This Row],[Accumulated Adjustments]]+tbl_Exh3.110[[#This Row],[One-Time Adjustment for High Claims (Non-Predictive Claims)]]+tbl_Exh3.110[[#This Row],[One-Time Adjustment for HCRP Receipts]]</f>
        <v>29872732.647853114</v>
      </c>
      <c r="D18" s="239">
        <f t="shared" si="0"/>
        <v>0.98499999999999999</v>
      </c>
      <c r="E18" s="351">
        <f ca="1">tbl_Exh3.110[[#This Row],[Allowed Claims 
(as of 3/31/2025)]]/tbl_Exh3.110[[#This Row],[Allowed Claims Completion factor (based on IBNP estimates)]]</f>
        <v>30327647.358226512</v>
      </c>
      <c r="F18" s="355"/>
      <c r="G18" s="355"/>
      <c r="H18" s="345">
        <f ca="1">0.01*tbl_Exh3.110[[#This Row],[Ultimate Allowed Claims]]</f>
        <v>303276.47358226514</v>
      </c>
      <c r="I18" s="351">
        <f ca="1">tbl_Exh3.110[[#This Row],[Ultimate Allowed Claims]]-tbl_Exh3.110[[#This Row],[One-Time Adjustment for High Claims (Non-Predictive Claims)]]-tbl_Exh3.110[[#This Row],[One-Time Adjustment for HCRP Receipts]]-tbl_Exh3.110[[#This Row],[Non-EHB Allowed Claims]]</f>
        <v>30024370.884644248</v>
      </c>
      <c r="J18" s="323">
        <f ca="1">tbl_Exh3.110[[#This Row],[Predictive Ultimate Allowed EHB Claims]]/tbl_Exh3.110[[#This Row],[Member Months]]</f>
        <v>300.24370884644247</v>
      </c>
      <c r="K18" s="240">
        <v>1</v>
      </c>
      <c r="L18" s="240">
        <v>1</v>
      </c>
      <c r="M18" s="240">
        <v>1</v>
      </c>
      <c r="N18" s="240">
        <v>1</v>
      </c>
      <c r="O18" s="240">
        <f>PRODUCT(tbl_Exh3.110[[#This Row],[Morbidity Adjustment]:[Other Adjustments]])</f>
        <v>1</v>
      </c>
      <c r="P18" s="240" cm="1">
        <f t="array" ref="P18">PRODUCT(IF(VALUE(RIGHT(tbl_Exh3.110[Incurred Date (YYYYMM)],2))=VALUE(RIGHT(tbl_Exh3.110[[#This Row],[Incurred Date (YYYYMM)]],2)),IF(VALUE(LEFT(tbl_Exh3.110[Incurred Date (YYYYMM)],4))&lt;=VALUE(LEFT(tbl_Exh3.110[[#This Row],[Incurred Date (YYYYMM)]],4)),tbl_Exh3.110[Combined Adjustment],1),1))</f>
        <v>1</v>
      </c>
      <c r="Q18" s="240">
        <f>INDEX(tbl_Exh3.110[Accumulated Adjustments],MATCH(VALUE(SUBSTITUTE(tbl_Exh3.110[[#This Row],[Incurred Date (YYYYMM)]],LEFT(tbl_Exh3.110[[#This Row],[Incurred Date (YYYYMM)]],4),ExperYear)),tbl_Exh3.110[Incurred Date (YYYYMM)],0))/tbl_Exh3.110[[#This Row],[Accumulated Adjustments]]</f>
        <v>1.0568908869465956</v>
      </c>
      <c r="R18" s="241">
        <f ca="1">tbl_Exh3.110[[#This Row],[Allowable Rating Adjustment Normalization Factor]]*tbl_Exh3.110[[#This Row],[Predictive Ultimate Allowed EHB Claims PMPM]]</f>
        <v>317.32483974285202</v>
      </c>
      <c r="S18" s="242"/>
      <c r="T18" s="243"/>
      <c r="U18" s="281"/>
      <c r="V18" s="281"/>
      <c r="W18" s="281"/>
      <c r="X18" s="246">
        <v>202208</v>
      </c>
      <c r="Y18" s="247">
        <f t="shared" si="4"/>
        <v>1</v>
      </c>
      <c r="Z18" s="247">
        <f t="shared" ca="1" si="1"/>
        <v>-4.2422450715628845E-3</v>
      </c>
      <c r="AA18" s="247">
        <f t="shared" ca="1" si="2"/>
        <v>0.9957577549284371</v>
      </c>
      <c r="AB18" s="248"/>
      <c r="AC18" s="248"/>
      <c r="AD18" s="248"/>
    </row>
    <row r="19" spans="1:30" s="236" customFormat="1" ht="15.75" x14ac:dyDescent="0.25">
      <c r="A19" s="237">
        <f t="shared" si="3"/>
        <v>202209</v>
      </c>
      <c r="B19" s="238">
        <v>100000</v>
      </c>
      <c r="C19" s="345">
        <f ca="1">tbl_Exh3.110[[#This Row],[Member Months]]*300*(AA19)*tbl_Exh3.110[[#This Row],[Accumulated Adjustments]]+tbl_Exh3.110[[#This Row],[One-Time Adjustment for High Claims (Non-Predictive Claims)]]+tbl_Exh3.110[[#This Row],[One-Time Adjustment for HCRP Receipts]]</f>
        <v>29930515.16235657</v>
      </c>
      <c r="D19" s="239">
        <f t="shared" si="0"/>
        <v>0.98499999999999999</v>
      </c>
      <c r="E19" s="351">
        <f ca="1">tbl_Exh3.110[[#This Row],[Allowed Claims 
(as of 3/31/2025)]]/tbl_Exh3.110[[#This Row],[Allowed Claims Completion factor (based on IBNP estimates)]]</f>
        <v>30386309.809499055</v>
      </c>
      <c r="F19" s="355"/>
      <c r="G19" s="355"/>
      <c r="H19" s="345">
        <f ca="1">0.01*tbl_Exh3.110[[#This Row],[Ultimate Allowed Claims]]</f>
        <v>303863.09809499054</v>
      </c>
      <c r="I19" s="351">
        <f ca="1">tbl_Exh3.110[[#This Row],[Ultimate Allowed Claims]]-tbl_Exh3.110[[#This Row],[One-Time Adjustment for High Claims (Non-Predictive Claims)]]-tbl_Exh3.110[[#This Row],[One-Time Adjustment for HCRP Receipts]]-tbl_Exh3.110[[#This Row],[Non-EHB Allowed Claims]]</f>
        <v>30082446.711404063</v>
      </c>
      <c r="J19" s="323">
        <f ca="1">tbl_Exh3.110[[#This Row],[Predictive Ultimate Allowed EHB Claims]]/tbl_Exh3.110[[#This Row],[Member Months]]</f>
        <v>300.8244671140406</v>
      </c>
      <c r="K19" s="240">
        <v>1</v>
      </c>
      <c r="L19" s="240">
        <v>1</v>
      </c>
      <c r="M19" s="240">
        <v>1</v>
      </c>
      <c r="N19" s="240">
        <v>1</v>
      </c>
      <c r="O19" s="240">
        <f>PRODUCT(tbl_Exh3.110[[#This Row],[Morbidity Adjustment]:[Other Adjustments]])</f>
        <v>1</v>
      </c>
      <c r="P19" s="240" cm="1">
        <f t="array" ref="P19">PRODUCT(IF(VALUE(RIGHT(tbl_Exh3.110[Incurred Date (YYYYMM)],2))=VALUE(RIGHT(tbl_Exh3.110[[#This Row],[Incurred Date (YYYYMM)]],2)),IF(VALUE(LEFT(tbl_Exh3.110[Incurred Date (YYYYMM)],4))&lt;=VALUE(LEFT(tbl_Exh3.110[[#This Row],[Incurred Date (YYYYMM)]],4)),tbl_Exh3.110[Combined Adjustment],1),1))</f>
        <v>1</v>
      </c>
      <c r="Q19" s="240">
        <f>INDEX(tbl_Exh3.110[Accumulated Adjustments],MATCH(VALUE(SUBSTITUTE(tbl_Exh3.110[[#This Row],[Incurred Date (YYYYMM)]],LEFT(tbl_Exh3.110[[#This Row],[Incurred Date (YYYYMM)]],4),ExperYear)),tbl_Exh3.110[Incurred Date (YYYYMM)],0))/tbl_Exh3.110[[#This Row],[Accumulated Adjustments]]</f>
        <v>1.0568908869465956</v>
      </c>
      <c r="R19" s="241">
        <f ca="1">tbl_Exh3.110[[#This Row],[Allowable Rating Adjustment Normalization Factor]]*tbl_Exh3.110[[#This Row],[Predictive Ultimate Allowed EHB Claims PMPM]]</f>
        <v>317.93863786339534</v>
      </c>
      <c r="S19" s="242"/>
      <c r="T19" s="243"/>
      <c r="U19" s="281"/>
      <c r="V19" s="281"/>
      <c r="W19" s="281"/>
      <c r="X19" s="246">
        <v>202209</v>
      </c>
      <c r="Y19" s="247">
        <f t="shared" si="4"/>
        <v>1</v>
      </c>
      <c r="Z19" s="247">
        <f t="shared" ca="1" si="1"/>
        <v>-2.3161612547809331E-3</v>
      </c>
      <c r="AA19" s="247">
        <f t="shared" ca="1" si="2"/>
        <v>0.99768383874521904</v>
      </c>
      <c r="AB19" s="248"/>
      <c r="AC19" s="248"/>
      <c r="AD19" s="248"/>
    </row>
    <row r="20" spans="1:30" s="236" customFormat="1" ht="15.75" x14ac:dyDescent="0.25">
      <c r="A20" s="237">
        <f t="shared" si="3"/>
        <v>202210</v>
      </c>
      <c r="B20" s="238">
        <v>100000</v>
      </c>
      <c r="C20" s="345">
        <f ca="1">tbl_Exh3.110[[#This Row],[Member Months]]*300*(AA20)*tbl_Exh3.110[[#This Row],[Accumulated Adjustments]]+tbl_Exh3.110[[#This Row],[One-Time Adjustment for High Claims (Non-Predictive Claims)]]+tbl_Exh3.110[[#This Row],[One-Time Adjustment for HCRP Receipts]]</f>
        <v>29987412.74259904</v>
      </c>
      <c r="D20" s="239">
        <f t="shared" si="0"/>
        <v>0.98499999999999999</v>
      </c>
      <c r="E20" s="351">
        <f ca="1">tbl_Exh3.110[[#This Row],[Allowed Claims 
(as of 3/31/2025)]]/tbl_Exh3.110[[#This Row],[Allowed Claims Completion factor (based on IBNP estimates)]]</f>
        <v>30444073.850354355</v>
      </c>
      <c r="F20" s="355"/>
      <c r="G20" s="355"/>
      <c r="H20" s="345">
        <f ca="1">0.01*tbl_Exh3.110[[#This Row],[Ultimate Allowed Claims]]</f>
        <v>304440.73850354354</v>
      </c>
      <c r="I20" s="351">
        <f ca="1">tbl_Exh3.110[[#This Row],[Ultimate Allowed Claims]]-tbl_Exh3.110[[#This Row],[One-Time Adjustment for High Claims (Non-Predictive Claims)]]-tbl_Exh3.110[[#This Row],[One-Time Adjustment for HCRP Receipts]]-tbl_Exh3.110[[#This Row],[Non-EHB Allowed Claims]]</f>
        <v>30139633.111850813</v>
      </c>
      <c r="J20" s="323">
        <f ca="1">tbl_Exh3.110[[#This Row],[Predictive Ultimate Allowed EHB Claims]]/tbl_Exh3.110[[#This Row],[Member Months]]</f>
        <v>301.39633111850816</v>
      </c>
      <c r="K20" s="240">
        <v>1</v>
      </c>
      <c r="L20" s="240">
        <v>1</v>
      </c>
      <c r="M20" s="240">
        <v>1</v>
      </c>
      <c r="N20" s="240">
        <v>1</v>
      </c>
      <c r="O20" s="240">
        <f>PRODUCT(tbl_Exh3.110[[#This Row],[Morbidity Adjustment]:[Other Adjustments]])</f>
        <v>1</v>
      </c>
      <c r="P20" s="240" cm="1">
        <f t="array" ref="P20">PRODUCT(IF(VALUE(RIGHT(tbl_Exh3.110[Incurred Date (YYYYMM)],2))=VALUE(RIGHT(tbl_Exh3.110[[#This Row],[Incurred Date (YYYYMM)]],2)),IF(VALUE(LEFT(tbl_Exh3.110[Incurred Date (YYYYMM)],4))&lt;=VALUE(LEFT(tbl_Exh3.110[[#This Row],[Incurred Date (YYYYMM)]],4)),tbl_Exh3.110[Combined Adjustment],1),1))</f>
        <v>1</v>
      </c>
      <c r="Q20" s="240">
        <f>INDEX(tbl_Exh3.110[Accumulated Adjustments],MATCH(VALUE(SUBSTITUTE(tbl_Exh3.110[[#This Row],[Incurred Date (YYYYMM)]],LEFT(tbl_Exh3.110[[#This Row],[Incurred Date (YYYYMM)]],4),ExperYear)),tbl_Exh3.110[Incurred Date (YYYYMM)],0))/tbl_Exh3.110[[#This Row],[Accumulated Adjustments]]</f>
        <v>1.0568908869465956</v>
      </c>
      <c r="R20" s="241">
        <f ca="1">tbl_Exh3.110[[#This Row],[Allowable Rating Adjustment Normalization Factor]]*tbl_Exh3.110[[#This Row],[Predictive Ultimate Allowed EHB Claims PMPM]]</f>
        <v>318.5430357182899</v>
      </c>
      <c r="S20" s="242"/>
      <c r="T20" s="243"/>
      <c r="U20" s="281"/>
      <c r="V20" s="281"/>
      <c r="W20" s="281"/>
      <c r="X20" s="246">
        <v>202210</v>
      </c>
      <c r="Y20" s="247">
        <f t="shared" si="4"/>
        <v>1</v>
      </c>
      <c r="Z20" s="247">
        <f t="shared" ca="1" si="1"/>
        <v>-4.1957524669864409E-4</v>
      </c>
      <c r="AA20" s="247">
        <f t="shared" ca="1" si="2"/>
        <v>0.99958042475330133</v>
      </c>
      <c r="AB20" s="248"/>
      <c r="AC20" s="248"/>
      <c r="AD20" s="248"/>
    </row>
    <row r="21" spans="1:30" s="236" customFormat="1" ht="15.75" x14ac:dyDescent="0.25">
      <c r="A21" s="237">
        <f t="shared" si="3"/>
        <v>202211</v>
      </c>
      <c r="B21" s="238">
        <v>100000</v>
      </c>
      <c r="C21" s="345">
        <f ca="1">tbl_Exh3.110[[#This Row],[Member Months]]*300*(AA21)*tbl_Exh3.110[[#This Row],[Accumulated Adjustments]]+tbl_Exh3.110[[#This Row],[One-Time Adjustment for High Claims (Non-Predictive Claims)]]+tbl_Exh3.110[[#This Row],[One-Time Adjustment for HCRP Receipts]]</f>
        <v>29891900.034000464</v>
      </c>
      <c r="D21" s="239">
        <f t="shared" si="0"/>
        <v>0.98499999999999999</v>
      </c>
      <c r="E21" s="351">
        <f ca="1">tbl_Exh3.110[[#This Row],[Allowed Claims 
(as of 3/31/2025)]]/tbl_Exh3.110[[#This Row],[Allowed Claims Completion factor (based on IBNP estimates)]]</f>
        <v>30347106.633503009</v>
      </c>
      <c r="F21" s="355"/>
      <c r="G21" s="355"/>
      <c r="H21" s="345">
        <f ca="1">0.01*tbl_Exh3.110[[#This Row],[Ultimate Allowed Claims]]</f>
        <v>303471.06633503007</v>
      </c>
      <c r="I21" s="351">
        <f ca="1">tbl_Exh3.110[[#This Row],[Ultimate Allowed Claims]]-tbl_Exh3.110[[#This Row],[One-Time Adjustment for High Claims (Non-Predictive Claims)]]-tbl_Exh3.110[[#This Row],[One-Time Adjustment for HCRP Receipts]]-tbl_Exh3.110[[#This Row],[Non-EHB Allowed Claims]]</f>
        <v>30043635.567167979</v>
      </c>
      <c r="J21" s="323">
        <f ca="1">tbl_Exh3.110[[#This Row],[Predictive Ultimate Allowed EHB Claims]]/tbl_Exh3.110[[#This Row],[Member Months]]</f>
        <v>300.43635567167979</v>
      </c>
      <c r="K21" s="240">
        <v>1</v>
      </c>
      <c r="L21" s="240">
        <v>1</v>
      </c>
      <c r="M21" s="240">
        <v>1</v>
      </c>
      <c r="N21" s="240">
        <v>1</v>
      </c>
      <c r="O21" s="240">
        <f>PRODUCT(tbl_Exh3.110[[#This Row],[Morbidity Adjustment]:[Other Adjustments]])</f>
        <v>1</v>
      </c>
      <c r="P21" s="240" cm="1">
        <f t="array" ref="P21">PRODUCT(IF(VALUE(RIGHT(tbl_Exh3.110[Incurred Date (YYYYMM)],2))=VALUE(RIGHT(tbl_Exh3.110[[#This Row],[Incurred Date (YYYYMM)]],2)),IF(VALUE(LEFT(tbl_Exh3.110[Incurred Date (YYYYMM)],4))&lt;=VALUE(LEFT(tbl_Exh3.110[[#This Row],[Incurred Date (YYYYMM)]],4)),tbl_Exh3.110[Combined Adjustment],1),1))</f>
        <v>1</v>
      </c>
      <c r="Q21" s="240">
        <f>INDEX(tbl_Exh3.110[Accumulated Adjustments],MATCH(VALUE(SUBSTITUTE(tbl_Exh3.110[[#This Row],[Incurred Date (YYYYMM)]],LEFT(tbl_Exh3.110[[#This Row],[Incurred Date (YYYYMM)]],4),ExperYear)),tbl_Exh3.110[Incurred Date (YYYYMM)],0))/tbl_Exh3.110[[#This Row],[Accumulated Adjustments]]</f>
        <v>1.0568908869465956</v>
      </c>
      <c r="R21" s="241">
        <f ca="1">tbl_Exh3.110[[#This Row],[Allowable Rating Adjustment Normalization Factor]]*tbl_Exh3.110[[#This Row],[Predictive Ultimate Allowed EHB Claims PMPM]]</f>
        <v>317.52844641684453</v>
      </c>
      <c r="S21" s="242"/>
      <c r="T21" s="243"/>
      <c r="U21" s="281"/>
      <c r="V21" s="281"/>
      <c r="W21" s="281"/>
      <c r="X21" s="246">
        <v>202211</v>
      </c>
      <c r="Y21" s="247">
        <f t="shared" si="4"/>
        <v>1</v>
      </c>
      <c r="Z21" s="247">
        <f t="shared" ca="1" si="1"/>
        <v>-3.6033321999844902E-3</v>
      </c>
      <c r="AA21" s="247">
        <f t="shared" ca="1" si="2"/>
        <v>0.99639666780001546</v>
      </c>
      <c r="AB21" s="248"/>
      <c r="AC21" s="248"/>
      <c r="AD21" s="248"/>
    </row>
    <row r="22" spans="1:30" s="236" customFormat="1" ht="16.5" thickBot="1" x14ac:dyDescent="0.3">
      <c r="A22" s="332">
        <f t="shared" si="3"/>
        <v>202212</v>
      </c>
      <c r="B22" s="333">
        <v>100000</v>
      </c>
      <c r="C22" s="346">
        <f ca="1">tbl_Exh3.110[[#This Row],[Member Months]]*300*(AA22)*tbl_Exh3.110[[#This Row],[Accumulated Adjustments]]+tbl_Exh3.110[[#This Row],[One-Time Adjustment for High Claims (Non-Predictive Claims)]]+tbl_Exh3.110[[#This Row],[One-Time Adjustment for HCRP Receipts]]</f>
        <v>29898603.815840948</v>
      </c>
      <c r="D22" s="334">
        <f t="shared" si="0"/>
        <v>0.98499999999999999</v>
      </c>
      <c r="E22" s="352">
        <f ca="1">tbl_Exh3.110[[#This Row],[Allowed Claims 
(as of 3/31/2025)]]/tbl_Exh3.110[[#This Row],[Allowed Claims Completion factor (based on IBNP estimates)]]</f>
        <v>30353912.503391825</v>
      </c>
      <c r="F22" s="356"/>
      <c r="G22" s="356"/>
      <c r="H22" s="346">
        <f ca="1">0.01*tbl_Exh3.110[[#This Row],[Ultimate Allowed Claims]]</f>
        <v>303539.12503391824</v>
      </c>
      <c r="I22" s="352">
        <f ca="1">tbl_Exh3.110[[#This Row],[Ultimate Allowed Claims]]-tbl_Exh3.110[[#This Row],[One-Time Adjustment for High Claims (Non-Predictive Claims)]]-tbl_Exh3.110[[#This Row],[One-Time Adjustment for HCRP Receipts]]-tbl_Exh3.110[[#This Row],[Non-EHB Allowed Claims]]</f>
        <v>30050373.378357906</v>
      </c>
      <c r="J22" s="335">
        <f ca="1">tbl_Exh3.110[[#This Row],[Predictive Ultimate Allowed EHB Claims]]/tbl_Exh3.110[[#This Row],[Member Months]]</f>
        <v>300.50373378357904</v>
      </c>
      <c r="K22" s="336">
        <v>1</v>
      </c>
      <c r="L22" s="336">
        <v>1</v>
      </c>
      <c r="M22" s="336">
        <v>1</v>
      </c>
      <c r="N22" s="336">
        <v>1</v>
      </c>
      <c r="O22" s="336">
        <f>PRODUCT(tbl_Exh3.110[[#This Row],[Morbidity Adjustment]:[Other Adjustments]])</f>
        <v>1</v>
      </c>
      <c r="P22" s="336" cm="1">
        <f t="array" ref="P22">PRODUCT(IF(VALUE(RIGHT(tbl_Exh3.110[Incurred Date (YYYYMM)],2))=VALUE(RIGHT(tbl_Exh3.110[[#This Row],[Incurred Date (YYYYMM)]],2)),IF(VALUE(LEFT(tbl_Exh3.110[Incurred Date (YYYYMM)],4))&lt;=VALUE(LEFT(tbl_Exh3.110[[#This Row],[Incurred Date (YYYYMM)]],4)),tbl_Exh3.110[Combined Adjustment],1),1))</f>
        <v>1</v>
      </c>
      <c r="Q22" s="336">
        <f>INDEX(tbl_Exh3.110[Accumulated Adjustments],MATCH(VALUE(SUBSTITUTE(tbl_Exh3.110[[#This Row],[Incurred Date (YYYYMM)]],LEFT(tbl_Exh3.110[[#This Row],[Incurred Date (YYYYMM)]],4),ExperYear)),tbl_Exh3.110[Incurred Date (YYYYMM)],0))/tbl_Exh3.110[[#This Row],[Accumulated Adjustments]]</f>
        <v>1.0568908869465956</v>
      </c>
      <c r="R22" s="337">
        <f ca="1">tbl_Exh3.110[[#This Row],[Allowable Rating Adjustment Normalization Factor]]*tbl_Exh3.110[[#This Row],[Predictive Ultimate Allowed EHB Claims PMPM]]</f>
        <v>317.59965772929047</v>
      </c>
      <c r="S22" s="338"/>
      <c r="T22" s="339"/>
      <c r="U22" s="281"/>
      <c r="V22" s="281"/>
      <c r="W22" s="281"/>
      <c r="X22" s="244">
        <v>202212</v>
      </c>
      <c r="Y22" s="245">
        <f>Y21</f>
        <v>1</v>
      </c>
      <c r="Z22" s="245">
        <f t="shared" ca="1" si="1"/>
        <v>-3.3798728053017701E-3</v>
      </c>
      <c r="AA22" s="245">
        <f t="shared" ca="1" si="2"/>
        <v>0.99662012719469828</v>
      </c>
      <c r="AB22" s="245">
        <f>AVERAGE(Y11:Y22)</f>
        <v>1</v>
      </c>
      <c r="AC22" s="245">
        <f t="shared" ref="AC22:AD23" ca="1" si="5">AVERAGE(Z11:Z22)</f>
        <v>-1.9565947884538841E-3</v>
      </c>
      <c r="AD22" s="245">
        <f ca="1">AVERAGE(AA11:AA22)</f>
        <v>0.998043405211546</v>
      </c>
    </row>
    <row r="23" spans="1:30" s="236" customFormat="1" ht="15.75" x14ac:dyDescent="0.25">
      <c r="A23" s="231">
        <f t="shared" si="3"/>
        <v>202301</v>
      </c>
      <c r="B23" s="325">
        <v>100000</v>
      </c>
      <c r="C23" s="347">
        <f ca="1">tbl_Exh3.110[[#This Row],[Member Months]]*300*(AA23)*tbl_Exh3.110[[#This Row],[Accumulated Adjustments]]+tbl_Exh3.110[[#This Row],[One-Time Adjustment for High Claims (Non-Predictive Claims)]]+tbl_Exh3.110[[#This Row],[One-Time Adjustment for HCRP Receipts]]</f>
        <v>33395228.749878708</v>
      </c>
      <c r="D23" s="326">
        <f t="shared" si="0"/>
        <v>0.98499999999999999</v>
      </c>
      <c r="E23" s="353">
        <f ca="1">tbl_Exh3.110[[#This Row],[Allowed Claims 
(as of 3/31/2025)]]/tbl_Exh3.110[[#This Row],[Allowed Claims Completion factor (based on IBNP estimates)]]</f>
        <v>33903785.532871783</v>
      </c>
      <c r="F23" s="357"/>
      <c r="G23" s="357"/>
      <c r="H23" s="347">
        <f ca="1">0.01*tbl_Exh3.110[[#This Row],[Ultimate Allowed Claims]]</f>
        <v>339037.85532871785</v>
      </c>
      <c r="I23" s="353">
        <f ca="1">tbl_Exh3.110[[#This Row],[Ultimate Allowed Claims]]-tbl_Exh3.110[[#This Row],[One-Time Adjustment for High Claims (Non-Predictive Claims)]]-tbl_Exh3.110[[#This Row],[One-Time Adjustment for HCRP Receipts]]-tbl_Exh3.110[[#This Row],[Non-EHB Allowed Claims]]</f>
        <v>33564747.677543066</v>
      </c>
      <c r="J23" s="327">
        <f ca="1">tbl_Exh3.110[[#This Row],[Predictive Ultimate Allowed EHB Claims]]/tbl_Exh3.110[[#This Row],[Member Months]]</f>
        <v>335.64747677543068</v>
      </c>
      <c r="K23" s="326">
        <v>1.018</v>
      </c>
      <c r="L23" s="326">
        <v>1.0149999999999999</v>
      </c>
      <c r="M23" s="326">
        <v>0.99</v>
      </c>
      <c r="N23" s="326">
        <v>1.0049999999999999</v>
      </c>
      <c r="O23" s="328">
        <f>PRODUCT(tbl_Exh3.110[[#This Row],[Morbidity Adjustment]:[Other Adjustments]])</f>
        <v>1.0280519864999997</v>
      </c>
      <c r="P23" s="328" cm="1">
        <f t="array" ref="P23">PRODUCT(IF(VALUE(RIGHT(tbl_Exh3.110[Incurred Date (YYYYMM)],2))=VALUE(RIGHT(tbl_Exh3.110[[#This Row],[Incurred Date (YYYYMM)]],2)),IF(VALUE(LEFT(tbl_Exh3.110[Incurred Date (YYYYMM)],4))&lt;=VALUE(LEFT(tbl_Exh3.110[[#This Row],[Incurred Date (YYYYMM)]],4)),tbl_Exh3.110[Combined Adjustment],1),1))</f>
        <v>1.0280519864999997</v>
      </c>
      <c r="Q23" s="328">
        <f>INDEX(tbl_Exh3.110[Accumulated Adjustments],MATCH(VALUE(SUBSTITUTE(tbl_Exh3.110[[#This Row],[Incurred Date (YYYYMM)]],LEFT(tbl_Exh3.110[[#This Row],[Incurred Date (YYYYMM)]],4),ExperYear)),tbl_Exh3.110[Incurred Date (YYYYMM)],0))/tbl_Exh3.110[[#This Row],[Accumulated Adjustments]]</f>
        <v>1.0280519864999997</v>
      </c>
      <c r="R23" s="329">
        <f ca="1">tbl_Exh3.110[[#This Row],[Allowable Rating Adjustment Normalization Factor]]*tbl_Exh3.110[[#This Row],[Predictive Ultimate Allowed EHB Claims PMPM]]</f>
        <v>345.06305526269404</v>
      </c>
      <c r="S23" s="330"/>
      <c r="T23" s="331"/>
      <c r="U23" s="281"/>
      <c r="V23" s="281"/>
      <c r="W23" s="281"/>
      <c r="X23" s="244">
        <v>202301</v>
      </c>
      <c r="Y23" s="245">
        <f>1+$Y$9</f>
        <v>1.085</v>
      </c>
      <c r="Z23" s="245">
        <f t="shared" ca="1" si="1"/>
        <v>-2.2003884235246495E-3</v>
      </c>
      <c r="AA23" s="245">
        <f t="shared" ca="1" si="2"/>
        <v>1.0827996115764753</v>
      </c>
      <c r="AB23" s="245">
        <f>AVERAGE(Y12:Y23)</f>
        <v>1.0070833333333333</v>
      </c>
      <c r="AC23" s="245">
        <f t="shared" ca="1" si="5"/>
        <v>-2.04663440151068E-3</v>
      </c>
      <c r="AD23" s="245">
        <f t="shared" ca="1" si="5"/>
        <v>1.0050366989318225</v>
      </c>
    </row>
    <row r="24" spans="1:30" s="236" customFormat="1" ht="15.75" x14ac:dyDescent="0.25">
      <c r="A24" s="237">
        <f t="shared" si="3"/>
        <v>202302</v>
      </c>
      <c r="B24" s="249">
        <v>100000</v>
      </c>
      <c r="C24" s="348">
        <f ca="1">tbl_Exh3.110[[#This Row],[Member Months]]*300*(AA24)*tbl_Exh3.110[[#This Row],[Accumulated Adjustments]]+tbl_Exh3.110[[#This Row],[One-Time Adjustment for High Claims (Non-Predictive Claims)]]+tbl_Exh3.110[[#This Row],[One-Time Adjustment for HCRP Receipts]]</f>
        <v>33311360.677020643</v>
      </c>
      <c r="D24" s="250">
        <f t="shared" si="0"/>
        <v>0.98499999999999999</v>
      </c>
      <c r="E24" s="351">
        <f ca="1">tbl_Exh3.110[[#This Row],[Allowed Claims 
(as of 3/31/2025)]]/tbl_Exh3.110[[#This Row],[Allowed Claims Completion factor (based on IBNP estimates)]]</f>
        <v>33818640.281239234</v>
      </c>
      <c r="F24" s="358"/>
      <c r="G24" s="358"/>
      <c r="H24" s="348">
        <f ca="1">0.01*tbl_Exh3.110[[#This Row],[Ultimate Allowed Claims]]</f>
        <v>338186.40281239233</v>
      </c>
      <c r="I24" s="351">
        <f ca="1">tbl_Exh3.110[[#This Row],[Ultimate Allowed Claims]]-tbl_Exh3.110[[#This Row],[One-Time Adjustment for High Claims (Non-Predictive Claims)]]-tbl_Exh3.110[[#This Row],[One-Time Adjustment for HCRP Receipts]]-tbl_Exh3.110[[#This Row],[Non-EHB Allowed Claims]]</f>
        <v>33480453.878426842</v>
      </c>
      <c r="J24" s="323">
        <f ca="1">tbl_Exh3.110[[#This Row],[Predictive Ultimate Allowed EHB Claims]]/tbl_Exh3.110[[#This Row],[Member Months]]</f>
        <v>334.8045387842684</v>
      </c>
      <c r="K24" s="240">
        <f>K23</f>
        <v>1.018</v>
      </c>
      <c r="L24" s="240">
        <f t="shared" ref="L24:N34" si="6">L23</f>
        <v>1.0149999999999999</v>
      </c>
      <c r="M24" s="240">
        <f t="shared" si="6"/>
        <v>0.99</v>
      </c>
      <c r="N24" s="240">
        <f t="shared" si="6"/>
        <v>1.0049999999999999</v>
      </c>
      <c r="O24" s="240">
        <f>PRODUCT(tbl_Exh3.110[[#This Row],[Morbidity Adjustment]:[Other Adjustments]])</f>
        <v>1.0280519864999997</v>
      </c>
      <c r="P24" s="240" cm="1">
        <f t="array" ref="P24">PRODUCT(IF(VALUE(RIGHT(tbl_Exh3.110[Incurred Date (YYYYMM)],2))=VALUE(RIGHT(tbl_Exh3.110[[#This Row],[Incurred Date (YYYYMM)]],2)),IF(VALUE(LEFT(tbl_Exh3.110[Incurred Date (YYYYMM)],4))&lt;=VALUE(LEFT(tbl_Exh3.110[[#This Row],[Incurred Date (YYYYMM)]],4)),tbl_Exh3.110[Combined Adjustment],1),1))</f>
        <v>1.0280519864999997</v>
      </c>
      <c r="Q24" s="240">
        <f>INDEX(tbl_Exh3.110[Accumulated Adjustments],MATCH(VALUE(SUBSTITUTE(tbl_Exh3.110[[#This Row],[Incurred Date (YYYYMM)]],LEFT(tbl_Exh3.110[[#This Row],[Incurred Date (YYYYMM)]],4),ExperYear)),tbl_Exh3.110[Incurred Date (YYYYMM)],0))/tbl_Exh3.110[[#This Row],[Accumulated Adjustments]]</f>
        <v>1.0280519864999997</v>
      </c>
      <c r="R24" s="241">
        <f ca="1">tbl_Exh3.110[[#This Row],[Allowable Rating Adjustment Normalization Factor]]*tbl_Exh3.110[[#This Row],[Predictive Ultimate Allowed EHB Claims PMPM]]</f>
        <v>344.19647118638335</v>
      </c>
      <c r="S24" s="242"/>
      <c r="T24" s="243"/>
      <c r="U24" s="281"/>
      <c r="V24" s="281"/>
      <c r="W24" s="281"/>
      <c r="X24" s="246">
        <v>202302</v>
      </c>
      <c r="Y24" s="247">
        <f>Y23</f>
        <v>1.085</v>
      </c>
      <c r="Z24" s="247">
        <f t="shared" ca="1" si="1"/>
        <v>-4.9197085214506145E-3</v>
      </c>
      <c r="AA24" s="247">
        <f t="shared" ca="1" si="2"/>
        <v>1.0800802914785494</v>
      </c>
      <c r="AB24" s="251"/>
      <c r="AC24" s="248"/>
      <c r="AD24" s="248"/>
    </row>
    <row r="25" spans="1:30" s="236" customFormat="1" ht="15.75" x14ac:dyDescent="0.25">
      <c r="A25" s="237">
        <f t="shared" si="3"/>
        <v>202303</v>
      </c>
      <c r="B25" s="249">
        <v>100000</v>
      </c>
      <c r="C25" s="348">
        <f ca="1">tbl_Exh3.110[[#This Row],[Member Months]]*300*(AA25)*tbl_Exh3.110[[#This Row],[Accumulated Adjustments]]+tbl_Exh3.110[[#This Row],[One-Time Adjustment for High Claims (Non-Predictive Claims)]]+tbl_Exh3.110[[#This Row],[One-Time Adjustment for HCRP Receipts]]</f>
        <v>33413485.557875209</v>
      </c>
      <c r="D25" s="250">
        <f t="shared" si="0"/>
        <v>0.98499999999999999</v>
      </c>
      <c r="E25" s="351">
        <f ca="1">tbl_Exh3.110[[#This Row],[Allowed Claims 
(as of 3/31/2025)]]/tbl_Exh3.110[[#This Row],[Allowed Claims Completion factor (based on IBNP estimates)]]</f>
        <v>33922320.363325082</v>
      </c>
      <c r="F25" s="358"/>
      <c r="G25" s="358"/>
      <c r="H25" s="348">
        <f ca="1">0.01*tbl_Exh3.110[[#This Row],[Ultimate Allowed Claims]]</f>
        <v>339223.20363325084</v>
      </c>
      <c r="I25" s="351">
        <f ca="1">tbl_Exh3.110[[#This Row],[Ultimate Allowed Claims]]-tbl_Exh3.110[[#This Row],[One-Time Adjustment for High Claims (Non-Predictive Claims)]]-tbl_Exh3.110[[#This Row],[One-Time Adjustment for HCRP Receipts]]-tbl_Exh3.110[[#This Row],[Non-EHB Allowed Claims]]</f>
        <v>33583097.159691833</v>
      </c>
      <c r="J25" s="323">
        <f ca="1">tbl_Exh3.110[[#This Row],[Predictive Ultimate Allowed EHB Claims]]/tbl_Exh3.110[[#This Row],[Member Months]]</f>
        <v>335.83097159691835</v>
      </c>
      <c r="K25" s="240">
        <f t="shared" ref="K25:K34" si="7">K24</f>
        <v>1.018</v>
      </c>
      <c r="L25" s="240">
        <f t="shared" si="6"/>
        <v>1.0149999999999999</v>
      </c>
      <c r="M25" s="240">
        <f t="shared" si="6"/>
        <v>0.99</v>
      </c>
      <c r="N25" s="240">
        <f t="shared" si="6"/>
        <v>1.0049999999999999</v>
      </c>
      <c r="O25" s="240">
        <f>PRODUCT(tbl_Exh3.110[[#This Row],[Morbidity Adjustment]:[Other Adjustments]])</f>
        <v>1.0280519864999997</v>
      </c>
      <c r="P25" s="240" cm="1">
        <f t="array" ref="P25">PRODUCT(IF(VALUE(RIGHT(tbl_Exh3.110[Incurred Date (YYYYMM)],2))=VALUE(RIGHT(tbl_Exh3.110[[#This Row],[Incurred Date (YYYYMM)]],2)),IF(VALUE(LEFT(tbl_Exh3.110[Incurred Date (YYYYMM)],4))&lt;=VALUE(LEFT(tbl_Exh3.110[[#This Row],[Incurred Date (YYYYMM)]],4)),tbl_Exh3.110[Combined Adjustment],1),1))</f>
        <v>1.0280519864999997</v>
      </c>
      <c r="Q25" s="240">
        <f>INDEX(tbl_Exh3.110[Accumulated Adjustments],MATCH(VALUE(SUBSTITUTE(tbl_Exh3.110[[#This Row],[Incurred Date (YYYYMM)]],LEFT(tbl_Exh3.110[[#This Row],[Incurred Date (YYYYMM)]],4),ExperYear)),tbl_Exh3.110[Incurred Date (YYYYMM)],0))/tbl_Exh3.110[[#This Row],[Accumulated Adjustments]]</f>
        <v>1.0280519864999997</v>
      </c>
      <c r="R25" s="241">
        <f ca="1">tbl_Exh3.110[[#This Row],[Allowable Rating Adjustment Normalization Factor]]*tbl_Exh3.110[[#This Row],[Predictive Ultimate Allowed EHB Claims PMPM]]</f>
        <v>345.25169747843688</v>
      </c>
      <c r="S25" s="242"/>
      <c r="T25" s="243"/>
      <c r="U25" s="281"/>
      <c r="V25" s="281"/>
      <c r="W25" s="281"/>
      <c r="X25" s="246">
        <v>202303</v>
      </c>
      <c r="Y25" s="247">
        <f t="shared" ref="Y25:Y33" si="8">Y24</f>
        <v>1.085</v>
      </c>
      <c r="Z25" s="247">
        <f t="shared" ca="1" si="1"/>
        <v>-1.6084336639002217E-3</v>
      </c>
      <c r="AA25" s="247">
        <f t="shared" ca="1" si="2"/>
        <v>1.0833915663360998</v>
      </c>
      <c r="AB25" s="248"/>
      <c r="AC25" s="248"/>
      <c r="AD25" s="248"/>
    </row>
    <row r="26" spans="1:30" s="236" customFormat="1" ht="15.75" x14ac:dyDescent="0.25">
      <c r="A26" s="237">
        <f t="shared" si="3"/>
        <v>202304</v>
      </c>
      <c r="B26" s="249">
        <v>100000</v>
      </c>
      <c r="C26" s="348">
        <f ca="1">tbl_Exh3.110[[#This Row],[Member Months]]*300*(AA26)*tbl_Exh3.110[[#This Row],[Accumulated Adjustments]]+tbl_Exh3.110[[#This Row],[One-Time Adjustment for High Claims (Non-Predictive Claims)]]+tbl_Exh3.110[[#This Row],[One-Time Adjustment for HCRP Receipts]]</f>
        <v>33330035.640463516</v>
      </c>
      <c r="D26" s="250">
        <f t="shared" si="0"/>
        <v>0.98499999999999999</v>
      </c>
      <c r="E26" s="351">
        <f ca="1">tbl_Exh3.110[[#This Row],[Allowed Claims 
(as of 3/31/2025)]]/tbl_Exh3.110[[#This Row],[Allowed Claims Completion factor (based on IBNP estimates)]]</f>
        <v>33837599.634988345</v>
      </c>
      <c r="F26" s="358"/>
      <c r="G26" s="358"/>
      <c r="H26" s="348">
        <f ca="1">0.01*tbl_Exh3.110[[#This Row],[Ultimate Allowed Claims]]</f>
        <v>338375.99634988344</v>
      </c>
      <c r="I26" s="351">
        <f ca="1">tbl_Exh3.110[[#This Row],[Ultimate Allowed Claims]]-tbl_Exh3.110[[#This Row],[One-Time Adjustment for High Claims (Non-Predictive Claims)]]-tbl_Exh3.110[[#This Row],[One-Time Adjustment for HCRP Receipts]]-tbl_Exh3.110[[#This Row],[Non-EHB Allowed Claims]]</f>
        <v>33499223.638638463</v>
      </c>
      <c r="J26" s="323">
        <f ca="1">tbl_Exh3.110[[#This Row],[Predictive Ultimate Allowed EHB Claims]]/tbl_Exh3.110[[#This Row],[Member Months]]</f>
        <v>334.9922363863846</v>
      </c>
      <c r="K26" s="240">
        <f t="shared" si="7"/>
        <v>1.018</v>
      </c>
      <c r="L26" s="240">
        <f t="shared" si="6"/>
        <v>1.0149999999999999</v>
      </c>
      <c r="M26" s="240">
        <f t="shared" si="6"/>
        <v>0.99</v>
      </c>
      <c r="N26" s="240">
        <f t="shared" si="6"/>
        <v>1.0049999999999999</v>
      </c>
      <c r="O26" s="240">
        <f>PRODUCT(tbl_Exh3.110[[#This Row],[Morbidity Adjustment]:[Other Adjustments]])</f>
        <v>1.0280519864999997</v>
      </c>
      <c r="P26" s="240" cm="1">
        <f t="array" ref="P26">PRODUCT(IF(VALUE(RIGHT(tbl_Exh3.110[Incurred Date (YYYYMM)],2))=VALUE(RIGHT(tbl_Exh3.110[[#This Row],[Incurred Date (YYYYMM)]],2)),IF(VALUE(LEFT(tbl_Exh3.110[Incurred Date (YYYYMM)],4))&lt;=VALUE(LEFT(tbl_Exh3.110[[#This Row],[Incurred Date (YYYYMM)]],4)),tbl_Exh3.110[Combined Adjustment],1),1))</f>
        <v>1.0280519864999997</v>
      </c>
      <c r="Q26" s="240">
        <f>INDEX(tbl_Exh3.110[Accumulated Adjustments],MATCH(VALUE(SUBSTITUTE(tbl_Exh3.110[[#This Row],[Incurred Date (YYYYMM)]],LEFT(tbl_Exh3.110[[#This Row],[Incurred Date (YYYYMM)]],4),ExperYear)),tbl_Exh3.110[Incurred Date (YYYYMM)],0))/tbl_Exh3.110[[#This Row],[Accumulated Adjustments]]</f>
        <v>1.0280519864999997</v>
      </c>
      <c r="R26" s="241">
        <f ca="1">tbl_Exh3.110[[#This Row],[Allowable Rating Adjustment Normalization Factor]]*tbl_Exh3.110[[#This Row],[Predictive Ultimate Allowed EHB Claims PMPM]]</f>
        <v>344.38943407910017</v>
      </c>
      <c r="S26" s="242"/>
      <c r="T26" s="243"/>
      <c r="U26" s="281"/>
      <c r="V26" s="281"/>
      <c r="W26" s="281"/>
      <c r="X26" s="246">
        <v>202304</v>
      </c>
      <c r="Y26" s="247">
        <f t="shared" si="8"/>
        <v>1.085</v>
      </c>
      <c r="Z26" s="247">
        <f t="shared" ca="1" si="1"/>
        <v>-4.3141955808565311E-3</v>
      </c>
      <c r="AA26" s="247">
        <f t="shared" ca="1" si="2"/>
        <v>1.0806858044191434</v>
      </c>
      <c r="AB26" s="248"/>
      <c r="AC26" s="248"/>
      <c r="AD26" s="248"/>
    </row>
    <row r="27" spans="1:30" s="236" customFormat="1" ht="15.75" x14ac:dyDescent="0.25">
      <c r="A27" s="237">
        <f t="shared" si="3"/>
        <v>202305</v>
      </c>
      <c r="B27" s="249">
        <v>100000</v>
      </c>
      <c r="C27" s="348">
        <f ca="1">tbl_Exh3.110[[#This Row],[Member Months]]*300*(AA27)*tbl_Exh3.110[[#This Row],[Accumulated Adjustments]]+tbl_Exh3.110[[#This Row],[One-Time Adjustment for High Claims (Non-Predictive Claims)]]+tbl_Exh3.110[[#This Row],[One-Time Adjustment for HCRP Receipts]]</f>
        <v>34847218.972052485</v>
      </c>
      <c r="D27" s="250">
        <f t="shared" si="0"/>
        <v>0.98499999999999999</v>
      </c>
      <c r="E27" s="351">
        <f ca="1">tbl_Exh3.110[[#This Row],[Allowed Claims 
(as of 3/31/2025)]]/tbl_Exh3.110[[#This Row],[Allowed Claims Completion factor (based on IBNP estimates)]]</f>
        <v>35377887.281271562</v>
      </c>
      <c r="F27" s="358"/>
      <c r="G27" s="358">
        <v>1500000</v>
      </c>
      <c r="H27" s="348">
        <f ca="1">0.01*tbl_Exh3.110[[#This Row],[Ultimate Allowed Claims]]</f>
        <v>353778.87281271565</v>
      </c>
      <c r="I27" s="351">
        <f ca="1">tbl_Exh3.110[[#This Row],[Ultimate Allowed Claims]]-tbl_Exh3.110[[#This Row],[One-Time Adjustment for High Claims (Non-Predictive Claims)]]-tbl_Exh3.110[[#This Row],[One-Time Adjustment for HCRP Receipts]]-tbl_Exh3.110[[#This Row],[Non-EHB Allowed Claims]]</f>
        <v>33524108.408458848</v>
      </c>
      <c r="J27" s="323">
        <f ca="1">tbl_Exh3.110[[#This Row],[Predictive Ultimate Allowed EHB Claims]]/tbl_Exh3.110[[#This Row],[Member Months]]</f>
        <v>335.24108408458846</v>
      </c>
      <c r="K27" s="240">
        <f t="shared" si="7"/>
        <v>1.018</v>
      </c>
      <c r="L27" s="240">
        <f t="shared" si="6"/>
        <v>1.0149999999999999</v>
      </c>
      <c r="M27" s="240">
        <f t="shared" si="6"/>
        <v>0.99</v>
      </c>
      <c r="N27" s="240">
        <f t="shared" si="6"/>
        <v>1.0049999999999999</v>
      </c>
      <c r="O27" s="240">
        <f>PRODUCT(tbl_Exh3.110[[#This Row],[Morbidity Adjustment]:[Other Adjustments]])</f>
        <v>1.0280519864999997</v>
      </c>
      <c r="P27" s="240" cm="1">
        <f t="array" ref="P27">PRODUCT(IF(VALUE(RIGHT(tbl_Exh3.110[Incurred Date (YYYYMM)],2))=VALUE(RIGHT(tbl_Exh3.110[[#This Row],[Incurred Date (YYYYMM)]],2)),IF(VALUE(LEFT(tbl_Exh3.110[Incurred Date (YYYYMM)],4))&lt;=VALUE(LEFT(tbl_Exh3.110[[#This Row],[Incurred Date (YYYYMM)]],4)),tbl_Exh3.110[Combined Adjustment],1),1))</f>
        <v>1.0280519864999997</v>
      </c>
      <c r="Q27" s="240">
        <f>INDEX(tbl_Exh3.110[Accumulated Adjustments],MATCH(VALUE(SUBSTITUTE(tbl_Exh3.110[[#This Row],[Incurred Date (YYYYMM)]],LEFT(tbl_Exh3.110[[#This Row],[Incurred Date (YYYYMM)]],4),ExperYear)),tbl_Exh3.110[Incurred Date (YYYYMM)],0))/tbl_Exh3.110[[#This Row],[Accumulated Adjustments]]</f>
        <v>1.0280519864999997</v>
      </c>
      <c r="R27" s="241">
        <f ca="1">tbl_Exh3.110[[#This Row],[Allowable Rating Adjustment Normalization Factor]]*tbl_Exh3.110[[#This Row],[Predictive Ultimate Allowed EHB Claims PMPM]]</f>
        <v>344.6452624495746</v>
      </c>
      <c r="S27" s="242"/>
      <c r="T27" s="243"/>
      <c r="U27" s="281"/>
      <c r="V27" s="281"/>
      <c r="W27" s="281"/>
      <c r="X27" s="246">
        <v>202305</v>
      </c>
      <c r="Y27" s="247">
        <f t="shared" si="8"/>
        <v>1.085</v>
      </c>
      <c r="Z27" s="247">
        <f t="shared" ca="1" si="1"/>
        <v>-3.7570469860834011E-3</v>
      </c>
      <c r="AA27" s="247">
        <f t="shared" ca="1" si="2"/>
        <v>1.0812429530139165</v>
      </c>
      <c r="AB27" s="248"/>
      <c r="AC27" s="248"/>
      <c r="AD27" s="248"/>
    </row>
    <row r="28" spans="1:30" s="236" customFormat="1" ht="15.75" x14ac:dyDescent="0.25">
      <c r="A28" s="237">
        <f t="shared" si="3"/>
        <v>202306</v>
      </c>
      <c r="B28" s="249">
        <v>100000</v>
      </c>
      <c r="C28" s="348">
        <f ca="1">tbl_Exh3.110[[#This Row],[Member Months]]*300*(AA28)*tbl_Exh3.110[[#This Row],[Accumulated Adjustments]]+tbl_Exh3.110[[#This Row],[One-Time Adjustment for High Claims (Non-Predictive Claims)]]+tbl_Exh3.110[[#This Row],[One-Time Adjustment for HCRP Receipts]]</f>
        <v>33456673.51116861</v>
      </c>
      <c r="D28" s="250">
        <f t="shared" si="0"/>
        <v>0.98499999999999999</v>
      </c>
      <c r="E28" s="351">
        <f ca="1">tbl_Exh3.110[[#This Row],[Allowed Claims 
(as of 3/31/2025)]]/tbl_Exh3.110[[#This Row],[Allowed Claims Completion factor (based on IBNP estimates)]]</f>
        <v>33966166.001186408</v>
      </c>
      <c r="F28" s="358"/>
      <c r="G28" s="358"/>
      <c r="H28" s="348">
        <f ca="1">0.01*tbl_Exh3.110[[#This Row],[Ultimate Allowed Claims]]</f>
        <v>339661.66001186409</v>
      </c>
      <c r="I28" s="351">
        <f ca="1">tbl_Exh3.110[[#This Row],[Ultimate Allowed Claims]]-tbl_Exh3.110[[#This Row],[One-Time Adjustment for High Claims (Non-Predictive Claims)]]-tbl_Exh3.110[[#This Row],[One-Time Adjustment for HCRP Receipts]]-tbl_Exh3.110[[#This Row],[Non-EHB Allowed Claims]]</f>
        <v>33626504.341174543</v>
      </c>
      <c r="J28" s="323">
        <f ca="1">tbl_Exh3.110[[#This Row],[Predictive Ultimate Allowed EHB Claims]]/tbl_Exh3.110[[#This Row],[Member Months]]</f>
        <v>336.26504341174541</v>
      </c>
      <c r="K28" s="240">
        <f t="shared" si="7"/>
        <v>1.018</v>
      </c>
      <c r="L28" s="240">
        <f t="shared" si="6"/>
        <v>1.0149999999999999</v>
      </c>
      <c r="M28" s="240">
        <f t="shared" si="6"/>
        <v>0.99</v>
      </c>
      <c r="N28" s="240">
        <f t="shared" si="6"/>
        <v>1.0049999999999999</v>
      </c>
      <c r="O28" s="240">
        <f>PRODUCT(tbl_Exh3.110[[#This Row],[Morbidity Adjustment]:[Other Adjustments]])</f>
        <v>1.0280519864999997</v>
      </c>
      <c r="P28" s="240" cm="1">
        <f t="array" ref="P28">PRODUCT(IF(VALUE(RIGHT(tbl_Exh3.110[Incurred Date (YYYYMM)],2))=VALUE(RIGHT(tbl_Exh3.110[[#This Row],[Incurred Date (YYYYMM)]],2)),IF(VALUE(LEFT(tbl_Exh3.110[Incurred Date (YYYYMM)],4))&lt;=VALUE(LEFT(tbl_Exh3.110[[#This Row],[Incurred Date (YYYYMM)]],4)),tbl_Exh3.110[Combined Adjustment],1),1))</f>
        <v>1.0280519864999997</v>
      </c>
      <c r="Q28" s="240">
        <f>INDEX(tbl_Exh3.110[Accumulated Adjustments],MATCH(VALUE(SUBSTITUTE(tbl_Exh3.110[[#This Row],[Incurred Date (YYYYMM)]],LEFT(tbl_Exh3.110[[#This Row],[Incurred Date (YYYYMM)]],4),ExperYear)),tbl_Exh3.110[Incurred Date (YYYYMM)],0))/tbl_Exh3.110[[#This Row],[Accumulated Adjustments]]</f>
        <v>1.0280519864999997</v>
      </c>
      <c r="R28" s="241">
        <f ca="1">tbl_Exh3.110[[#This Row],[Allowable Rating Adjustment Normalization Factor]]*tbl_Exh3.110[[#This Row],[Predictive Ultimate Allowed EHB Claims PMPM]]</f>
        <v>345.69794586995351</v>
      </c>
      <c r="S28" s="242"/>
      <c r="T28" s="243"/>
      <c r="U28" s="281"/>
      <c r="V28" s="281"/>
      <c r="W28" s="281"/>
      <c r="X28" s="246">
        <v>202306</v>
      </c>
      <c r="Y28" s="247">
        <f t="shared" si="8"/>
        <v>1.085</v>
      </c>
      <c r="Z28" s="247">
        <f t="shared" ca="1" si="1"/>
        <v>-2.0811688807790329E-4</v>
      </c>
      <c r="AA28" s="247">
        <f t="shared" ca="1" si="2"/>
        <v>1.0847918831119221</v>
      </c>
      <c r="AB28" s="248"/>
      <c r="AC28" s="248"/>
      <c r="AD28" s="248"/>
    </row>
    <row r="29" spans="1:30" s="236" customFormat="1" ht="15.75" x14ac:dyDescent="0.25">
      <c r="A29" s="237">
        <f t="shared" si="3"/>
        <v>202307</v>
      </c>
      <c r="B29" s="249">
        <v>100000</v>
      </c>
      <c r="C29" s="348">
        <f ca="1">tbl_Exh3.110[[#This Row],[Member Months]]*300*(AA29)*tbl_Exh3.110[[#This Row],[Accumulated Adjustments]]+tbl_Exh3.110[[#This Row],[One-Time Adjustment for High Claims (Non-Predictive Claims)]]+tbl_Exh3.110[[#This Row],[One-Time Adjustment for HCRP Receipts]]</f>
        <v>33453509.776104204</v>
      </c>
      <c r="D29" s="250">
        <f t="shared" si="0"/>
        <v>0.98499999999999999</v>
      </c>
      <c r="E29" s="351">
        <f ca="1">tbl_Exh3.110[[#This Row],[Allowed Claims 
(as of 3/31/2025)]]/tbl_Exh3.110[[#This Row],[Allowed Claims Completion factor (based on IBNP estimates)]]</f>
        <v>33962954.087415434</v>
      </c>
      <c r="F29" s="358"/>
      <c r="G29" s="358"/>
      <c r="H29" s="348">
        <f ca="1">0.01*tbl_Exh3.110[[#This Row],[Ultimate Allowed Claims]]</f>
        <v>339629.54087415437</v>
      </c>
      <c r="I29" s="351">
        <f ca="1">tbl_Exh3.110[[#This Row],[Ultimate Allowed Claims]]-tbl_Exh3.110[[#This Row],[One-Time Adjustment for High Claims (Non-Predictive Claims)]]-tbl_Exh3.110[[#This Row],[One-Time Adjustment for HCRP Receipts]]-tbl_Exh3.110[[#This Row],[Non-EHB Allowed Claims]]</f>
        <v>33623324.546541281</v>
      </c>
      <c r="J29" s="323">
        <f ca="1">tbl_Exh3.110[[#This Row],[Predictive Ultimate Allowed EHB Claims]]/tbl_Exh3.110[[#This Row],[Member Months]]</f>
        <v>336.23324546541284</v>
      </c>
      <c r="K29" s="240">
        <f t="shared" si="7"/>
        <v>1.018</v>
      </c>
      <c r="L29" s="240">
        <f t="shared" si="6"/>
        <v>1.0149999999999999</v>
      </c>
      <c r="M29" s="240">
        <f t="shared" si="6"/>
        <v>0.99</v>
      </c>
      <c r="N29" s="240">
        <f t="shared" si="6"/>
        <v>1.0049999999999999</v>
      </c>
      <c r="O29" s="240">
        <f>PRODUCT(tbl_Exh3.110[[#This Row],[Morbidity Adjustment]:[Other Adjustments]])</f>
        <v>1.0280519864999997</v>
      </c>
      <c r="P29" s="240" cm="1">
        <f t="array" ref="P29">PRODUCT(IF(VALUE(RIGHT(tbl_Exh3.110[Incurred Date (YYYYMM)],2))=VALUE(RIGHT(tbl_Exh3.110[[#This Row],[Incurred Date (YYYYMM)]],2)),IF(VALUE(LEFT(tbl_Exh3.110[Incurred Date (YYYYMM)],4))&lt;=VALUE(LEFT(tbl_Exh3.110[[#This Row],[Incurred Date (YYYYMM)]],4)),tbl_Exh3.110[Combined Adjustment],1),1))</f>
        <v>1.0280519864999997</v>
      </c>
      <c r="Q29" s="240">
        <f>INDEX(tbl_Exh3.110[Accumulated Adjustments],MATCH(VALUE(SUBSTITUTE(tbl_Exh3.110[[#This Row],[Incurred Date (YYYYMM)]],LEFT(tbl_Exh3.110[[#This Row],[Incurred Date (YYYYMM)]],4),ExperYear)),tbl_Exh3.110[Incurred Date (YYYYMM)],0))/tbl_Exh3.110[[#This Row],[Accumulated Adjustments]]</f>
        <v>1.0280519864999997</v>
      </c>
      <c r="R29" s="241">
        <f ca="1">tbl_Exh3.110[[#This Row],[Allowable Rating Adjustment Normalization Factor]]*tbl_Exh3.110[[#This Row],[Predictive Ultimate Allowed EHB Claims PMPM]]</f>
        <v>345.66525592805971</v>
      </c>
      <c r="S29" s="242"/>
      <c r="T29" s="243"/>
      <c r="U29" s="281"/>
      <c r="V29" s="281"/>
      <c r="W29" s="281"/>
      <c r="X29" s="246">
        <v>202307</v>
      </c>
      <c r="Y29" s="247">
        <f t="shared" si="8"/>
        <v>1.085</v>
      </c>
      <c r="Z29" s="247">
        <f t="shared" ca="1" si="1"/>
        <v>-3.1069714361465773E-4</v>
      </c>
      <c r="AA29" s="247">
        <f t="shared" ca="1" si="2"/>
        <v>1.0846893028563853</v>
      </c>
      <c r="AB29" s="248"/>
      <c r="AC29" s="248"/>
      <c r="AD29" s="248"/>
    </row>
    <row r="30" spans="1:30" s="236" customFormat="1" ht="15.75" x14ac:dyDescent="0.25">
      <c r="A30" s="237">
        <f t="shared" si="3"/>
        <v>202308</v>
      </c>
      <c r="B30" s="249">
        <v>100000</v>
      </c>
      <c r="C30" s="348">
        <f ca="1">tbl_Exh3.110[[#This Row],[Member Months]]*300*(AA30)*tbl_Exh3.110[[#This Row],[Accumulated Adjustments]]+tbl_Exh3.110[[#This Row],[One-Time Adjustment for High Claims (Non-Predictive Claims)]]+tbl_Exh3.110[[#This Row],[One-Time Adjustment for HCRP Receipts]]</f>
        <v>33360173.389654078</v>
      </c>
      <c r="D30" s="250">
        <f t="shared" si="0"/>
        <v>0.98499999999999999</v>
      </c>
      <c r="E30" s="351">
        <f ca="1">tbl_Exh3.110[[#This Row],[Allowed Claims 
(as of 3/31/2025)]]/tbl_Exh3.110[[#This Row],[Allowed Claims Completion factor (based on IBNP estimates)]]</f>
        <v>33868196.334674194</v>
      </c>
      <c r="F30" s="358"/>
      <c r="G30" s="358"/>
      <c r="H30" s="348">
        <f ca="1">0.01*tbl_Exh3.110[[#This Row],[Ultimate Allowed Claims]]</f>
        <v>338681.96334674198</v>
      </c>
      <c r="I30" s="351">
        <f ca="1">tbl_Exh3.110[[#This Row],[Ultimate Allowed Claims]]-tbl_Exh3.110[[#This Row],[One-Time Adjustment for High Claims (Non-Predictive Claims)]]-tbl_Exh3.110[[#This Row],[One-Time Adjustment for HCRP Receipts]]-tbl_Exh3.110[[#This Row],[Non-EHB Allowed Claims]]</f>
        <v>33529514.371327452</v>
      </c>
      <c r="J30" s="323">
        <f ca="1">tbl_Exh3.110[[#This Row],[Predictive Ultimate Allowed EHB Claims]]/tbl_Exh3.110[[#This Row],[Member Months]]</f>
        <v>335.29514371327451</v>
      </c>
      <c r="K30" s="240">
        <f t="shared" si="7"/>
        <v>1.018</v>
      </c>
      <c r="L30" s="240">
        <f t="shared" si="6"/>
        <v>1.0149999999999999</v>
      </c>
      <c r="M30" s="240">
        <f t="shared" si="6"/>
        <v>0.99</v>
      </c>
      <c r="N30" s="240">
        <f t="shared" si="6"/>
        <v>1.0049999999999999</v>
      </c>
      <c r="O30" s="240">
        <f>PRODUCT(tbl_Exh3.110[[#This Row],[Morbidity Adjustment]:[Other Adjustments]])</f>
        <v>1.0280519864999997</v>
      </c>
      <c r="P30" s="240" cm="1">
        <f t="array" ref="P30">PRODUCT(IF(VALUE(RIGHT(tbl_Exh3.110[Incurred Date (YYYYMM)],2))=VALUE(RIGHT(tbl_Exh3.110[[#This Row],[Incurred Date (YYYYMM)]],2)),IF(VALUE(LEFT(tbl_Exh3.110[Incurred Date (YYYYMM)],4))&lt;=VALUE(LEFT(tbl_Exh3.110[[#This Row],[Incurred Date (YYYYMM)]],4)),tbl_Exh3.110[Combined Adjustment],1),1))</f>
        <v>1.0280519864999997</v>
      </c>
      <c r="Q30" s="240">
        <f>INDEX(tbl_Exh3.110[Accumulated Adjustments],MATCH(VALUE(SUBSTITUTE(tbl_Exh3.110[[#This Row],[Incurred Date (YYYYMM)]],LEFT(tbl_Exh3.110[[#This Row],[Incurred Date (YYYYMM)]],4),ExperYear)),tbl_Exh3.110[Incurred Date (YYYYMM)],0))/tbl_Exh3.110[[#This Row],[Accumulated Adjustments]]</f>
        <v>1.0280519864999997</v>
      </c>
      <c r="R30" s="241">
        <f ca="1">tbl_Exh3.110[[#This Row],[Allowable Rating Adjustment Normalization Factor]]*tbl_Exh3.110[[#This Row],[Predictive Ultimate Allowed EHB Claims PMPM]]</f>
        <v>344.70083855823475</v>
      </c>
      <c r="S30" s="242"/>
      <c r="T30" s="243"/>
      <c r="U30" s="281"/>
      <c r="V30" s="281"/>
      <c r="W30" s="281"/>
      <c r="X30" s="246">
        <v>202308</v>
      </c>
      <c r="Y30" s="247">
        <f t="shared" si="8"/>
        <v>1.085</v>
      </c>
      <c r="Z30" s="247">
        <f t="shared" ca="1" si="1"/>
        <v>-3.3370157758687998E-3</v>
      </c>
      <c r="AA30" s="247">
        <f t="shared" ca="1" si="2"/>
        <v>1.0816629842241312</v>
      </c>
      <c r="AB30" s="248"/>
      <c r="AC30" s="248"/>
      <c r="AD30" s="248"/>
    </row>
    <row r="31" spans="1:30" s="236" customFormat="1" ht="15.75" x14ac:dyDescent="0.25">
      <c r="A31" s="237">
        <f t="shared" si="3"/>
        <v>202309</v>
      </c>
      <c r="B31" s="249">
        <v>100000</v>
      </c>
      <c r="C31" s="348">
        <f ca="1">tbl_Exh3.110[[#This Row],[Member Months]]*300*(AA31)*tbl_Exh3.110[[#This Row],[Accumulated Adjustments]]+tbl_Exh3.110[[#This Row],[One-Time Adjustment for High Claims (Non-Predictive Claims)]]+tbl_Exh3.110[[#This Row],[One-Time Adjustment for HCRP Receipts]]</f>
        <v>33413302.269196324</v>
      </c>
      <c r="D31" s="250">
        <f t="shared" si="0"/>
        <v>0.98499999999999999</v>
      </c>
      <c r="E31" s="351">
        <f ca="1">tbl_Exh3.110[[#This Row],[Allowed Claims 
(as of 3/31/2025)]]/tbl_Exh3.110[[#This Row],[Allowed Claims Completion factor (based on IBNP estimates)]]</f>
        <v>33922134.283448048</v>
      </c>
      <c r="F31" s="358"/>
      <c r="G31" s="358"/>
      <c r="H31" s="348">
        <f ca="1">0.01*tbl_Exh3.110[[#This Row],[Ultimate Allowed Claims]]</f>
        <v>339221.34283448051</v>
      </c>
      <c r="I31" s="351">
        <f ca="1">tbl_Exh3.110[[#This Row],[Ultimate Allowed Claims]]-tbl_Exh3.110[[#This Row],[One-Time Adjustment for High Claims (Non-Predictive Claims)]]-tbl_Exh3.110[[#This Row],[One-Time Adjustment for HCRP Receipts]]-tbl_Exh3.110[[#This Row],[Non-EHB Allowed Claims]]</f>
        <v>33582912.940613568</v>
      </c>
      <c r="J31" s="323">
        <f ca="1">tbl_Exh3.110[[#This Row],[Predictive Ultimate Allowed EHB Claims]]/tbl_Exh3.110[[#This Row],[Member Months]]</f>
        <v>335.82912940613568</v>
      </c>
      <c r="K31" s="240">
        <f t="shared" si="7"/>
        <v>1.018</v>
      </c>
      <c r="L31" s="240">
        <f t="shared" si="6"/>
        <v>1.0149999999999999</v>
      </c>
      <c r="M31" s="240">
        <f t="shared" si="6"/>
        <v>0.99</v>
      </c>
      <c r="N31" s="240">
        <f t="shared" si="6"/>
        <v>1.0049999999999999</v>
      </c>
      <c r="O31" s="240">
        <f>PRODUCT(tbl_Exh3.110[[#This Row],[Morbidity Adjustment]:[Other Adjustments]])</f>
        <v>1.0280519864999997</v>
      </c>
      <c r="P31" s="240" cm="1">
        <f t="array" ref="P31">PRODUCT(IF(VALUE(RIGHT(tbl_Exh3.110[Incurred Date (YYYYMM)],2))=VALUE(RIGHT(tbl_Exh3.110[[#This Row],[Incurred Date (YYYYMM)]],2)),IF(VALUE(LEFT(tbl_Exh3.110[Incurred Date (YYYYMM)],4))&lt;=VALUE(LEFT(tbl_Exh3.110[[#This Row],[Incurred Date (YYYYMM)]],4)),tbl_Exh3.110[Combined Adjustment],1),1))</f>
        <v>1.0280519864999997</v>
      </c>
      <c r="Q31" s="240">
        <f>INDEX(tbl_Exh3.110[Accumulated Adjustments],MATCH(VALUE(SUBSTITUTE(tbl_Exh3.110[[#This Row],[Incurred Date (YYYYMM)]],LEFT(tbl_Exh3.110[[#This Row],[Incurred Date (YYYYMM)]],4),ExperYear)),tbl_Exh3.110[Incurred Date (YYYYMM)],0))/tbl_Exh3.110[[#This Row],[Accumulated Adjustments]]</f>
        <v>1.0280519864999997</v>
      </c>
      <c r="R31" s="241">
        <f ca="1">tbl_Exh3.110[[#This Row],[Allowable Rating Adjustment Normalization Factor]]*tbl_Exh3.110[[#This Row],[Predictive Ultimate Allowed EHB Claims PMPM]]</f>
        <v>345.24980361054327</v>
      </c>
      <c r="S31" s="242"/>
      <c r="T31" s="243"/>
      <c r="U31" s="281"/>
      <c r="V31" s="281"/>
      <c r="W31" s="281"/>
      <c r="X31" s="246">
        <v>202309</v>
      </c>
      <c r="Y31" s="247">
        <f t="shared" si="8"/>
        <v>1.085</v>
      </c>
      <c r="Z31" s="247">
        <f t="shared" ca="1" si="1"/>
        <v>-1.6143765760385531E-3</v>
      </c>
      <c r="AA31" s="247">
        <f t="shared" ca="1" si="2"/>
        <v>1.0833856234239614</v>
      </c>
      <c r="AB31" s="248"/>
      <c r="AC31" s="248"/>
      <c r="AD31" s="248"/>
    </row>
    <row r="32" spans="1:30" s="236" customFormat="1" ht="15.75" x14ac:dyDescent="0.25">
      <c r="A32" s="237">
        <f t="shared" si="3"/>
        <v>202310</v>
      </c>
      <c r="B32" s="249">
        <v>100000</v>
      </c>
      <c r="C32" s="348">
        <f ca="1">tbl_Exh3.110[[#This Row],[Member Months]]*300*(AA32)*tbl_Exh3.110[[#This Row],[Accumulated Adjustments]]+tbl_Exh3.110[[#This Row],[One-Time Adjustment for High Claims (Non-Predictive Claims)]]+tbl_Exh3.110[[#This Row],[One-Time Adjustment for HCRP Receipts]]</f>
        <v>33323130.039001953</v>
      </c>
      <c r="D32" s="250">
        <f t="shared" si="0"/>
        <v>0.98499999999999999</v>
      </c>
      <c r="E32" s="351">
        <f ca="1">tbl_Exh3.110[[#This Row],[Allowed Claims 
(as of 3/31/2025)]]/tbl_Exh3.110[[#This Row],[Allowed Claims Completion factor (based on IBNP estimates)]]</f>
        <v>33830588.872083202</v>
      </c>
      <c r="F32" s="358"/>
      <c r="G32" s="358"/>
      <c r="H32" s="348">
        <f ca="1">0.01*tbl_Exh3.110[[#This Row],[Ultimate Allowed Claims]]</f>
        <v>338305.88872083201</v>
      </c>
      <c r="I32" s="351">
        <f ca="1">tbl_Exh3.110[[#This Row],[Ultimate Allowed Claims]]-tbl_Exh3.110[[#This Row],[One-Time Adjustment for High Claims (Non-Predictive Claims)]]-tbl_Exh3.110[[#This Row],[One-Time Adjustment for HCRP Receipts]]-tbl_Exh3.110[[#This Row],[Non-EHB Allowed Claims]]</f>
        <v>33492282.983362369</v>
      </c>
      <c r="J32" s="323">
        <f ca="1">tbl_Exh3.110[[#This Row],[Predictive Ultimate Allowed EHB Claims]]/tbl_Exh3.110[[#This Row],[Member Months]]</f>
        <v>334.92282983362367</v>
      </c>
      <c r="K32" s="240">
        <f t="shared" si="7"/>
        <v>1.018</v>
      </c>
      <c r="L32" s="240">
        <f t="shared" si="6"/>
        <v>1.0149999999999999</v>
      </c>
      <c r="M32" s="240">
        <f t="shared" si="6"/>
        <v>0.99</v>
      </c>
      <c r="N32" s="240">
        <f t="shared" si="6"/>
        <v>1.0049999999999999</v>
      </c>
      <c r="O32" s="240">
        <f>PRODUCT(tbl_Exh3.110[[#This Row],[Morbidity Adjustment]:[Other Adjustments]])</f>
        <v>1.0280519864999997</v>
      </c>
      <c r="P32" s="240" cm="1">
        <f t="array" ref="P32">PRODUCT(IF(VALUE(RIGHT(tbl_Exh3.110[Incurred Date (YYYYMM)],2))=VALUE(RIGHT(tbl_Exh3.110[[#This Row],[Incurred Date (YYYYMM)]],2)),IF(VALUE(LEFT(tbl_Exh3.110[Incurred Date (YYYYMM)],4))&lt;=VALUE(LEFT(tbl_Exh3.110[[#This Row],[Incurred Date (YYYYMM)]],4)),tbl_Exh3.110[Combined Adjustment],1),1))</f>
        <v>1.0280519864999997</v>
      </c>
      <c r="Q32" s="240">
        <f>INDEX(tbl_Exh3.110[Accumulated Adjustments],MATCH(VALUE(SUBSTITUTE(tbl_Exh3.110[[#This Row],[Incurred Date (YYYYMM)]],LEFT(tbl_Exh3.110[[#This Row],[Incurred Date (YYYYMM)]],4),ExperYear)),tbl_Exh3.110[Incurred Date (YYYYMM)],0))/tbl_Exh3.110[[#This Row],[Accumulated Adjustments]]</f>
        <v>1.0280519864999997</v>
      </c>
      <c r="R32" s="241">
        <f ca="1">tbl_Exh3.110[[#This Row],[Allowable Rating Adjustment Normalization Factor]]*tbl_Exh3.110[[#This Row],[Predictive Ultimate Allowed EHB Claims PMPM]]</f>
        <v>344.31808053465818</v>
      </c>
      <c r="S32" s="242"/>
      <c r="T32" s="243"/>
      <c r="U32" s="281"/>
      <c r="V32" s="281"/>
      <c r="W32" s="281"/>
      <c r="X32" s="246">
        <v>202310</v>
      </c>
      <c r="Y32" s="247">
        <f t="shared" si="8"/>
        <v>1.085</v>
      </c>
      <c r="Z32" s="247">
        <f t="shared" ca="1" si="1"/>
        <v>-4.5381012961395297E-3</v>
      </c>
      <c r="AA32" s="247">
        <f t="shared" ca="1" si="2"/>
        <v>1.0804618987038603</v>
      </c>
      <c r="AB32" s="248"/>
      <c r="AC32" s="248"/>
      <c r="AD32" s="248"/>
    </row>
    <row r="33" spans="1:30" s="236" customFormat="1" ht="15.75" x14ac:dyDescent="0.25">
      <c r="A33" s="237">
        <f t="shared" si="3"/>
        <v>202311</v>
      </c>
      <c r="B33" s="249">
        <v>100000</v>
      </c>
      <c r="C33" s="348">
        <f ca="1">tbl_Exh3.110[[#This Row],[Member Months]]*300*(AA33)*tbl_Exh3.110[[#This Row],[Accumulated Adjustments]]+tbl_Exh3.110[[#This Row],[One-Time Adjustment for High Claims (Non-Predictive Claims)]]+tbl_Exh3.110[[#This Row],[One-Time Adjustment for HCRP Receipts]]</f>
        <v>33465752.63267171</v>
      </c>
      <c r="D33" s="250">
        <f t="shared" si="0"/>
        <v>0.98499999999999999</v>
      </c>
      <c r="E33" s="351">
        <f ca="1">tbl_Exh3.110[[#This Row],[Allowed Claims 
(as of 3/31/2025)]]/tbl_Exh3.110[[#This Row],[Allowed Claims Completion factor (based on IBNP estimates)]]</f>
        <v>33975383.383423053</v>
      </c>
      <c r="F33" s="358">
        <v>100000</v>
      </c>
      <c r="G33" s="358"/>
      <c r="H33" s="348">
        <f ca="1">0.01*tbl_Exh3.110[[#This Row],[Ultimate Allowed Claims]]</f>
        <v>339753.83383423055</v>
      </c>
      <c r="I33" s="351">
        <f ca="1">tbl_Exh3.110[[#This Row],[Ultimate Allowed Claims]]-tbl_Exh3.110[[#This Row],[One-Time Adjustment for High Claims (Non-Predictive Claims)]]-tbl_Exh3.110[[#This Row],[One-Time Adjustment for HCRP Receipts]]-tbl_Exh3.110[[#This Row],[Non-EHB Allowed Claims]]</f>
        <v>33535629.549588822</v>
      </c>
      <c r="J33" s="323">
        <f ca="1">tbl_Exh3.110[[#This Row],[Predictive Ultimate Allowed EHB Claims]]/tbl_Exh3.110[[#This Row],[Member Months]]</f>
        <v>335.35629549588822</v>
      </c>
      <c r="K33" s="240">
        <f t="shared" si="7"/>
        <v>1.018</v>
      </c>
      <c r="L33" s="240">
        <f t="shared" si="6"/>
        <v>1.0149999999999999</v>
      </c>
      <c r="M33" s="240">
        <f t="shared" si="6"/>
        <v>0.99</v>
      </c>
      <c r="N33" s="240">
        <f t="shared" si="6"/>
        <v>1.0049999999999999</v>
      </c>
      <c r="O33" s="240">
        <f>PRODUCT(tbl_Exh3.110[[#This Row],[Morbidity Adjustment]:[Other Adjustments]])</f>
        <v>1.0280519864999997</v>
      </c>
      <c r="P33" s="240" cm="1">
        <f t="array" ref="P33">PRODUCT(IF(VALUE(RIGHT(tbl_Exh3.110[Incurred Date (YYYYMM)],2))=VALUE(RIGHT(tbl_Exh3.110[[#This Row],[Incurred Date (YYYYMM)]],2)),IF(VALUE(LEFT(tbl_Exh3.110[Incurred Date (YYYYMM)],4))&lt;=VALUE(LEFT(tbl_Exh3.110[[#This Row],[Incurred Date (YYYYMM)]],4)),tbl_Exh3.110[Combined Adjustment],1),1))</f>
        <v>1.0280519864999997</v>
      </c>
      <c r="Q33" s="240">
        <f>INDEX(tbl_Exh3.110[Accumulated Adjustments],MATCH(VALUE(SUBSTITUTE(tbl_Exh3.110[[#This Row],[Incurred Date (YYYYMM)]],LEFT(tbl_Exh3.110[[#This Row],[Incurred Date (YYYYMM)]],4),ExperYear)),tbl_Exh3.110[Incurred Date (YYYYMM)],0))/tbl_Exh3.110[[#This Row],[Accumulated Adjustments]]</f>
        <v>1.0280519864999997</v>
      </c>
      <c r="R33" s="241">
        <f ca="1">tbl_Exh3.110[[#This Row],[Allowable Rating Adjustment Normalization Factor]]*tbl_Exh3.110[[#This Row],[Predictive Ultimate Allowed EHB Claims PMPM]]</f>
        <v>344.76370576982879</v>
      </c>
      <c r="S33" s="252"/>
      <c r="T33" s="243"/>
      <c r="U33" s="281"/>
      <c r="V33" s="281"/>
      <c r="W33" s="281"/>
      <c r="X33" s="246">
        <v>202311</v>
      </c>
      <c r="Y33" s="247">
        <f t="shared" si="8"/>
        <v>1.085</v>
      </c>
      <c r="Z33" s="247">
        <f t="shared" ca="1" si="1"/>
        <v>-3.1561156174170989E-3</v>
      </c>
      <c r="AA33" s="247">
        <f t="shared" ca="1" si="2"/>
        <v>1.0818438843825828</v>
      </c>
      <c r="AB33" s="248"/>
      <c r="AC33" s="248"/>
      <c r="AD33" s="248"/>
    </row>
    <row r="34" spans="1:30" s="236" customFormat="1" ht="16.5" thickBot="1" x14ac:dyDescent="0.3">
      <c r="A34" s="332">
        <f t="shared" si="3"/>
        <v>202312</v>
      </c>
      <c r="B34" s="343">
        <v>100000</v>
      </c>
      <c r="C34" s="349">
        <f ca="1">tbl_Exh3.110[[#This Row],[Member Months]]*300*(AA34)*tbl_Exh3.110[[#This Row],[Accumulated Adjustments]]+tbl_Exh3.110[[#This Row],[One-Time Adjustment for High Claims (Non-Predictive Claims)]]+tbl_Exh3.110[[#This Row],[One-Time Adjustment for HCRP Receipts]]</f>
        <v>33426239.160790671</v>
      </c>
      <c r="D34" s="344">
        <f t="shared" si="0"/>
        <v>0.98499999999999999</v>
      </c>
      <c r="E34" s="352">
        <f ca="1">tbl_Exh3.110[[#This Row],[Allowed Claims 
(as of 3/31/2025)]]/tbl_Exh3.110[[#This Row],[Allowed Claims Completion factor (based on IBNP estimates)]]</f>
        <v>33935268.183543831</v>
      </c>
      <c r="F34" s="359"/>
      <c r="G34" s="359"/>
      <c r="H34" s="349">
        <f ca="1">0.01*tbl_Exh3.110[[#This Row],[Ultimate Allowed Claims]]</f>
        <v>339352.6818354383</v>
      </c>
      <c r="I34" s="352">
        <f ca="1">tbl_Exh3.110[[#This Row],[Ultimate Allowed Claims]]-tbl_Exh3.110[[#This Row],[One-Time Adjustment for High Claims (Non-Predictive Claims)]]-tbl_Exh3.110[[#This Row],[One-Time Adjustment for HCRP Receipts]]-tbl_Exh3.110[[#This Row],[Non-EHB Allowed Claims]]</f>
        <v>33595915.501708396</v>
      </c>
      <c r="J34" s="335">
        <f ca="1">tbl_Exh3.110[[#This Row],[Predictive Ultimate Allowed EHB Claims]]/tbl_Exh3.110[[#This Row],[Member Months]]</f>
        <v>335.95915501708396</v>
      </c>
      <c r="K34" s="336">
        <f t="shared" si="7"/>
        <v>1.018</v>
      </c>
      <c r="L34" s="336">
        <f t="shared" si="6"/>
        <v>1.0149999999999999</v>
      </c>
      <c r="M34" s="336">
        <f t="shared" si="6"/>
        <v>0.99</v>
      </c>
      <c r="N34" s="336">
        <f t="shared" si="6"/>
        <v>1.0049999999999999</v>
      </c>
      <c r="O34" s="336">
        <f>PRODUCT(tbl_Exh3.110[[#This Row],[Morbidity Adjustment]:[Other Adjustments]])</f>
        <v>1.0280519864999997</v>
      </c>
      <c r="P34" s="336" cm="1">
        <f t="array" ref="P34">PRODUCT(IF(VALUE(RIGHT(tbl_Exh3.110[Incurred Date (YYYYMM)],2))=VALUE(RIGHT(tbl_Exh3.110[[#This Row],[Incurred Date (YYYYMM)]],2)),IF(VALUE(LEFT(tbl_Exh3.110[Incurred Date (YYYYMM)],4))&lt;=VALUE(LEFT(tbl_Exh3.110[[#This Row],[Incurred Date (YYYYMM)]],4)),tbl_Exh3.110[Combined Adjustment],1),1))</f>
        <v>1.0280519864999997</v>
      </c>
      <c r="Q34" s="336">
        <f>INDEX(tbl_Exh3.110[Accumulated Adjustments],MATCH(VALUE(SUBSTITUTE(tbl_Exh3.110[[#This Row],[Incurred Date (YYYYMM)]],LEFT(tbl_Exh3.110[[#This Row],[Incurred Date (YYYYMM)]],4),ExperYear)),tbl_Exh3.110[Incurred Date (YYYYMM)],0))/tbl_Exh3.110[[#This Row],[Accumulated Adjustments]]</f>
        <v>1.0280519864999997</v>
      </c>
      <c r="R34" s="337">
        <f ca="1">tbl_Exh3.110[[#This Row],[Allowable Rating Adjustment Normalization Factor]]*tbl_Exh3.110[[#This Row],[Predictive Ultimate Allowed EHB Claims PMPM]]</f>
        <v>345.38347669817449</v>
      </c>
      <c r="S34" s="339">
        <f ca="1">(SUMPRODUCT(J23:J34,B23:B34)/SUM(B23:B34))/(SUMPRODUCT(J11:J22,B11:B22)/SUM(B11:B22))-1</f>
        <v>0.1149701826982823</v>
      </c>
      <c r="T34" s="339">
        <f ca="1">(SUMPRODUCT(R23:R34,B23:B34)/SUM(B23:B34))/(SUMPRODUCT(R11:R22,B11:B22)/SUM(B11:B22))-1</f>
        <v>8.4546498951084015E-2</v>
      </c>
      <c r="U34" s="281"/>
      <c r="V34" s="281"/>
      <c r="W34" s="281"/>
      <c r="X34" s="253">
        <v>202312</v>
      </c>
      <c r="Y34" s="245">
        <f>Y33</f>
        <v>1.085</v>
      </c>
      <c r="Z34" s="245">
        <f t="shared" ca="1" si="1"/>
        <v>-1.1949136252596493E-3</v>
      </c>
      <c r="AA34" s="245">
        <f t="shared" ca="1" si="2"/>
        <v>1.0838050863747404</v>
      </c>
      <c r="AB34" s="245">
        <f>AVERAGE(Y23:Y34)</f>
        <v>1.0850000000000002</v>
      </c>
      <c r="AC34" s="245">
        <f t="shared" ref="AC34:AD35" ca="1" si="9">AVERAGE(Z23:Z34)</f>
        <v>-2.5965925081859673E-3</v>
      </c>
      <c r="AD34" s="245">
        <f t="shared" ca="1" si="9"/>
        <v>1.0824034074918141</v>
      </c>
    </row>
    <row r="35" spans="1:30" s="236" customFormat="1" ht="15.75" x14ac:dyDescent="0.25">
      <c r="A35" s="231">
        <f t="shared" si="3"/>
        <v>202401</v>
      </c>
      <c r="B35" s="340">
        <v>100000</v>
      </c>
      <c r="C35" s="350">
        <f ca="1">tbl_Exh3.110[[#This Row],[Member Months]]*300*(AA35)*tbl_Exh3.110[[#This Row],[Accumulated Adjustments]]+tbl_Exh3.110[[#This Row],[One-Time Adjustment for High Claims (Non-Predictive Claims)]]+tbl_Exh3.110[[#This Row],[One-Time Adjustment for HCRP Receipts]]</f>
        <v>37212665.890825793</v>
      </c>
      <c r="D35" s="341">
        <f t="shared" si="0"/>
        <v>0.98499999999999999</v>
      </c>
      <c r="E35" s="353">
        <f ca="1">tbl_Exh3.110[[#This Row],[Allowed Claims 
(as of 3/31/2025)]]/tbl_Exh3.110[[#This Row],[Allowed Claims Completion factor (based on IBNP estimates)]]</f>
        <v>37779356.234340906</v>
      </c>
      <c r="F35" s="360"/>
      <c r="G35" s="360"/>
      <c r="H35" s="350">
        <f ca="1">0.01*tbl_Exh3.110[[#This Row],[Ultimate Allowed Claims]]</f>
        <v>377793.56234340905</v>
      </c>
      <c r="I35" s="353">
        <f ca="1">tbl_Exh3.110[[#This Row],[Ultimate Allowed Claims]]-tbl_Exh3.110[[#This Row],[One-Time Adjustment for High Claims (Non-Predictive Claims)]]-tbl_Exh3.110[[#This Row],[One-Time Adjustment for HCRP Receipts]]-tbl_Exh3.110[[#This Row],[Non-EHB Allowed Claims]]</f>
        <v>37401562.671997495</v>
      </c>
      <c r="J35" s="327">
        <f ca="1">tbl_Exh3.110[[#This Row],[Predictive Ultimate Allowed EHB Claims]]/tbl_Exh3.110[[#This Row],[Member Months]]</f>
        <v>374.01562671997493</v>
      </c>
      <c r="K35" s="341">
        <v>1.018</v>
      </c>
      <c r="L35" s="341">
        <v>1.0149999999999999</v>
      </c>
      <c r="M35" s="341">
        <v>0.99</v>
      </c>
      <c r="N35" s="341">
        <v>1.0049999999999999</v>
      </c>
      <c r="O35" s="328">
        <f>PRODUCT(tbl_Exh3.110[[#This Row],[Morbidity Adjustment]:[Other Adjustments]])</f>
        <v>1.0280519864999997</v>
      </c>
      <c r="P35" s="328" cm="1">
        <f t="array" ref="P35">PRODUCT(IF(VALUE(RIGHT(tbl_Exh3.110[Incurred Date (YYYYMM)],2))=VALUE(RIGHT(tbl_Exh3.110[[#This Row],[Incurred Date (YYYYMM)]],2)),IF(VALUE(LEFT(tbl_Exh3.110[Incurred Date (YYYYMM)],4))&lt;=VALUE(LEFT(tbl_Exh3.110[[#This Row],[Incurred Date (YYYYMM)]],4)),tbl_Exh3.110[Combined Adjustment],1),1))</f>
        <v>1.0568908869465956</v>
      </c>
      <c r="Q35" s="328">
        <f>INDEX(tbl_Exh3.110[Accumulated Adjustments],MATCH(VALUE(SUBSTITUTE(tbl_Exh3.110[[#This Row],[Incurred Date (YYYYMM)]],LEFT(tbl_Exh3.110[[#This Row],[Incurred Date (YYYYMM)]],4),ExperYear)),tbl_Exh3.110[Incurred Date (YYYYMM)],0))/tbl_Exh3.110[[#This Row],[Accumulated Adjustments]]</f>
        <v>1</v>
      </c>
      <c r="R35" s="329">
        <f ca="1">tbl_Exh3.110[[#This Row],[Allowable Rating Adjustment Normalization Factor]]*tbl_Exh3.110[[#This Row],[Predictive Ultimate Allowed EHB Claims PMPM]]</f>
        <v>374.01562671997493</v>
      </c>
      <c r="S35" s="342">
        <f t="shared" ref="S35:S46" ca="1" si="10">(SUMPRODUCT(J24:J35,B24:B35)/SUM(B24:B35))/(SUMPRODUCT(J12:J23,B12:B23)/SUM(B12:B23))-1</f>
        <v>0.11495473911575305</v>
      </c>
      <c r="T35" s="342">
        <f t="shared" ref="T35:T46" ca="1" si="11">(SUMPRODUCT(R24:R35,B24:B35)/SUM(B24:B35))/(SUMPRODUCT(R12:R23,B12:B23)/SUM(B12:B23))-1</f>
        <v>8.4533054167839738E-2</v>
      </c>
      <c r="U35" s="281"/>
      <c r="V35" s="281"/>
      <c r="W35" s="281"/>
      <c r="X35" s="253">
        <v>202401</v>
      </c>
      <c r="Y35" s="245">
        <f>Y34^2</f>
        <v>1.177225</v>
      </c>
      <c r="Z35" s="245">
        <f t="shared" ca="1" si="1"/>
        <v>-3.5729118979875769E-3</v>
      </c>
      <c r="AA35" s="245">
        <f t="shared" ca="1" si="2"/>
        <v>1.1736520881020125</v>
      </c>
      <c r="AB35" s="245">
        <f>AVERAGE(Y24:Y35)</f>
        <v>1.0926854166666669</v>
      </c>
      <c r="AC35" s="245">
        <f t="shared" ca="1" si="9"/>
        <v>-2.7109694643912114E-3</v>
      </c>
      <c r="AD35" s="245">
        <f t="shared" ca="1" si="9"/>
        <v>1.0899744472022752</v>
      </c>
    </row>
    <row r="36" spans="1:30" s="236" customFormat="1" ht="15.75" x14ac:dyDescent="0.25">
      <c r="A36" s="237">
        <f t="shared" si="3"/>
        <v>202402</v>
      </c>
      <c r="B36" s="238">
        <v>100000</v>
      </c>
      <c r="C36" s="345">
        <f ca="1">tbl_Exh3.110[[#This Row],[Member Months]]*300*(AA36)*tbl_Exh3.110[[#This Row],[Accumulated Adjustments]]+tbl_Exh3.110[[#This Row],[One-Time Adjustment for High Claims (Non-Predictive Claims)]]+tbl_Exh3.110[[#This Row],[One-Time Adjustment for HCRP Receipts]]</f>
        <v>37324894.52483315</v>
      </c>
      <c r="D36" s="239">
        <f t="shared" si="0"/>
        <v>0.98499999999999999</v>
      </c>
      <c r="E36" s="351">
        <f ca="1">tbl_Exh3.110[[#This Row],[Allowed Claims 
(as of 3/31/2025)]]/tbl_Exh3.110[[#This Row],[Allowed Claims Completion factor (based on IBNP estimates)]]</f>
        <v>37893293.933840759</v>
      </c>
      <c r="F36" s="355"/>
      <c r="G36" s="355"/>
      <c r="H36" s="345">
        <f ca="1">0.01*tbl_Exh3.110[[#This Row],[Ultimate Allowed Claims]]</f>
        <v>378932.9393384076</v>
      </c>
      <c r="I36" s="351">
        <f ca="1">tbl_Exh3.110[[#This Row],[Ultimate Allowed Claims]]-tbl_Exh3.110[[#This Row],[One-Time Adjustment for High Claims (Non-Predictive Claims)]]-tbl_Exh3.110[[#This Row],[One-Time Adjustment for HCRP Receipts]]-tbl_Exh3.110[[#This Row],[Non-EHB Allowed Claims]]</f>
        <v>37514360.994502351</v>
      </c>
      <c r="J36" s="323">
        <f ca="1">tbl_Exh3.110[[#This Row],[Predictive Ultimate Allowed EHB Claims]]/tbl_Exh3.110[[#This Row],[Member Months]]</f>
        <v>375.14360994502351</v>
      </c>
      <c r="K36" s="240">
        <f>K35</f>
        <v>1.018</v>
      </c>
      <c r="L36" s="240">
        <f t="shared" ref="L36:N46" si="12">L35</f>
        <v>1.0149999999999999</v>
      </c>
      <c r="M36" s="240">
        <f t="shared" si="12"/>
        <v>0.99</v>
      </c>
      <c r="N36" s="240">
        <f t="shared" si="12"/>
        <v>1.0049999999999999</v>
      </c>
      <c r="O36" s="240">
        <f>PRODUCT(tbl_Exh3.110[[#This Row],[Morbidity Adjustment]:[Other Adjustments]])</f>
        <v>1.0280519864999997</v>
      </c>
      <c r="P36" s="240" cm="1">
        <f t="array" ref="P36">PRODUCT(IF(VALUE(RIGHT(tbl_Exh3.110[Incurred Date (YYYYMM)],2))=VALUE(RIGHT(tbl_Exh3.110[[#This Row],[Incurred Date (YYYYMM)]],2)),IF(VALUE(LEFT(tbl_Exh3.110[Incurred Date (YYYYMM)],4))&lt;=VALUE(LEFT(tbl_Exh3.110[[#This Row],[Incurred Date (YYYYMM)]],4)),tbl_Exh3.110[Combined Adjustment],1),1))</f>
        <v>1.0568908869465956</v>
      </c>
      <c r="Q36" s="240">
        <f>INDEX(tbl_Exh3.110[Accumulated Adjustments],MATCH(VALUE(SUBSTITUTE(tbl_Exh3.110[[#This Row],[Incurred Date (YYYYMM)]],LEFT(tbl_Exh3.110[[#This Row],[Incurred Date (YYYYMM)]],4),ExperYear)),tbl_Exh3.110[Incurred Date (YYYYMM)],0))/tbl_Exh3.110[[#This Row],[Accumulated Adjustments]]</f>
        <v>1</v>
      </c>
      <c r="R36" s="241">
        <f ca="1">tbl_Exh3.110[[#This Row],[Allowable Rating Adjustment Normalization Factor]]*tbl_Exh3.110[[#This Row],[Predictive Ultimate Allowed EHB Claims PMPM]]</f>
        <v>375.14360994502351</v>
      </c>
      <c r="S36" s="252">
        <f t="shared" ca="1" si="10"/>
        <v>0.11540678854669295</v>
      </c>
      <c r="T36" s="252">
        <f t="shared" ca="1" si="11"/>
        <v>8.4961533530641731E-2</v>
      </c>
      <c r="U36" s="281"/>
      <c r="V36" s="281"/>
      <c r="W36" s="281"/>
      <c r="X36" s="254">
        <v>202402</v>
      </c>
      <c r="Y36" s="247">
        <f>Y35</f>
        <v>1.177225</v>
      </c>
      <c r="Z36" s="247">
        <f t="shared" ca="1" si="1"/>
        <v>-3.3327525451776749E-5</v>
      </c>
      <c r="AA36" s="247">
        <f t="shared" ca="1" si="2"/>
        <v>1.1771916724745481</v>
      </c>
      <c r="AB36" s="248"/>
      <c r="AC36" s="248"/>
      <c r="AD36" s="248"/>
    </row>
    <row r="37" spans="1:30" s="236" customFormat="1" ht="15.75" x14ac:dyDescent="0.25">
      <c r="A37" s="237">
        <f t="shared" si="3"/>
        <v>202403</v>
      </c>
      <c r="B37" s="238">
        <v>100000</v>
      </c>
      <c r="C37" s="345">
        <f ca="1">tbl_Exh3.110[[#This Row],[Member Months]]*300*(AA37)*tbl_Exh3.110[[#This Row],[Accumulated Adjustments]]+tbl_Exh3.110[[#This Row],[One-Time Adjustment for High Claims (Non-Predictive Claims)]]+tbl_Exh3.110[[#This Row],[One-Time Adjustment for HCRP Receipts]]</f>
        <v>37178976.68766395</v>
      </c>
      <c r="D37" s="239">
        <f t="shared" si="0"/>
        <v>0.98499999999999999</v>
      </c>
      <c r="E37" s="351">
        <f ca="1">tbl_Exh3.110[[#This Row],[Allowed Claims 
(as of 3/31/2025)]]/tbl_Exh3.110[[#This Row],[Allowed Claims Completion factor (based on IBNP estimates)]]</f>
        <v>37745153.997628376</v>
      </c>
      <c r="F37" s="355"/>
      <c r="G37" s="355"/>
      <c r="H37" s="345">
        <f ca="1">0.01*tbl_Exh3.110[[#This Row],[Ultimate Allowed Claims]]</f>
        <v>377451.53997628379</v>
      </c>
      <c r="I37" s="351">
        <f ca="1">tbl_Exh3.110[[#This Row],[Ultimate Allowed Claims]]-tbl_Exh3.110[[#This Row],[One-Time Adjustment for High Claims (Non-Predictive Claims)]]-tbl_Exh3.110[[#This Row],[One-Time Adjustment for HCRP Receipts]]-tbl_Exh3.110[[#This Row],[Non-EHB Allowed Claims]]</f>
        <v>37367702.457652092</v>
      </c>
      <c r="J37" s="323">
        <f ca="1">tbl_Exh3.110[[#This Row],[Predictive Ultimate Allowed EHB Claims]]/tbl_Exh3.110[[#This Row],[Member Months]]</f>
        <v>373.67702457652092</v>
      </c>
      <c r="K37" s="240">
        <f t="shared" ref="K37:K46" si="13">K36</f>
        <v>1.018</v>
      </c>
      <c r="L37" s="240">
        <f t="shared" si="12"/>
        <v>1.0149999999999999</v>
      </c>
      <c r="M37" s="240">
        <f t="shared" si="12"/>
        <v>0.99</v>
      </c>
      <c r="N37" s="240">
        <f t="shared" si="12"/>
        <v>1.0049999999999999</v>
      </c>
      <c r="O37" s="240">
        <f>PRODUCT(tbl_Exh3.110[[#This Row],[Morbidity Adjustment]:[Other Adjustments]])</f>
        <v>1.0280519864999997</v>
      </c>
      <c r="P37" s="240" cm="1">
        <f t="array" ref="P37">PRODUCT(IF(VALUE(RIGHT(tbl_Exh3.110[Incurred Date (YYYYMM)],2))=VALUE(RIGHT(tbl_Exh3.110[[#This Row],[Incurred Date (YYYYMM)]],2)),IF(VALUE(LEFT(tbl_Exh3.110[Incurred Date (YYYYMM)],4))&lt;=VALUE(LEFT(tbl_Exh3.110[[#This Row],[Incurred Date (YYYYMM)]],4)),tbl_Exh3.110[Combined Adjustment],1),1))</f>
        <v>1.0568908869465956</v>
      </c>
      <c r="Q37" s="240">
        <f>INDEX(tbl_Exh3.110[Accumulated Adjustments],MATCH(VALUE(SUBSTITUTE(tbl_Exh3.110[[#This Row],[Incurred Date (YYYYMM)]],LEFT(tbl_Exh3.110[[#This Row],[Incurred Date (YYYYMM)]],4),ExperYear)),tbl_Exh3.110[Incurred Date (YYYYMM)],0))/tbl_Exh3.110[[#This Row],[Accumulated Adjustments]]</f>
        <v>1</v>
      </c>
      <c r="R37" s="241">
        <f ca="1">tbl_Exh3.110[[#This Row],[Allowable Rating Adjustment Normalization Factor]]*tbl_Exh3.110[[#This Row],[Predictive Ultimate Allowed EHB Claims PMPM]]</f>
        <v>373.67702457652092</v>
      </c>
      <c r="S37" s="252">
        <f t="shared" ca="1" si="10"/>
        <v>0.11524725974181571</v>
      </c>
      <c r="T37" s="252">
        <f t="shared" ca="1" si="11"/>
        <v>8.4811826809787272E-2</v>
      </c>
      <c r="U37" s="281"/>
      <c r="V37" s="281"/>
      <c r="W37" s="281"/>
      <c r="X37" s="254">
        <v>202403</v>
      </c>
      <c r="Y37" s="247">
        <f t="shared" ref="Y37:Y46" si="14">Y36</f>
        <v>1.177225</v>
      </c>
      <c r="Z37" s="247">
        <f t="shared" ca="1" si="1"/>
        <v>-4.6354373228898148E-3</v>
      </c>
      <c r="AA37" s="247">
        <f t="shared" ca="1" si="2"/>
        <v>1.1725895626771101</v>
      </c>
      <c r="AB37" s="248"/>
      <c r="AC37" s="248"/>
      <c r="AD37" s="248"/>
    </row>
    <row r="38" spans="1:30" s="236" customFormat="1" ht="15.75" x14ac:dyDescent="0.25">
      <c r="A38" s="237">
        <f t="shared" si="3"/>
        <v>202404</v>
      </c>
      <c r="B38" s="238">
        <v>100000</v>
      </c>
      <c r="C38" s="345">
        <f ca="1">tbl_Exh3.110[[#This Row],[Member Months]]*300*(AA38)*tbl_Exh3.110[[#This Row],[Accumulated Adjustments]]+tbl_Exh3.110[[#This Row],[One-Time Adjustment for High Claims (Non-Predictive Claims)]]+tbl_Exh3.110[[#This Row],[One-Time Adjustment for HCRP Receipts]]</f>
        <v>37219822.521532461</v>
      </c>
      <c r="D38" s="239">
        <f t="shared" si="0"/>
        <v>0.98499999999999999</v>
      </c>
      <c r="E38" s="351">
        <f ca="1">tbl_Exh3.110[[#This Row],[Allowed Claims 
(as of 3/31/2025)]]/tbl_Exh3.110[[#This Row],[Allowed Claims Completion factor (based on IBNP estimates)]]</f>
        <v>37786621.849271536</v>
      </c>
      <c r="F38" s="355"/>
      <c r="G38" s="355"/>
      <c r="H38" s="345">
        <f ca="1">0.01*tbl_Exh3.110[[#This Row],[Ultimate Allowed Claims]]</f>
        <v>377866.21849271539</v>
      </c>
      <c r="I38" s="351">
        <f ca="1">tbl_Exh3.110[[#This Row],[Ultimate Allowed Claims]]-tbl_Exh3.110[[#This Row],[One-Time Adjustment for High Claims (Non-Predictive Claims)]]-tbl_Exh3.110[[#This Row],[One-Time Adjustment for HCRP Receipts]]-tbl_Exh3.110[[#This Row],[Non-EHB Allowed Claims]]</f>
        <v>37408755.630778819</v>
      </c>
      <c r="J38" s="323">
        <f ca="1">tbl_Exh3.110[[#This Row],[Predictive Ultimate Allowed EHB Claims]]/tbl_Exh3.110[[#This Row],[Member Months]]</f>
        <v>374.08755630778819</v>
      </c>
      <c r="K38" s="240">
        <f t="shared" si="13"/>
        <v>1.018</v>
      </c>
      <c r="L38" s="240">
        <f t="shared" si="12"/>
        <v>1.0149999999999999</v>
      </c>
      <c r="M38" s="240">
        <f t="shared" si="12"/>
        <v>0.99</v>
      </c>
      <c r="N38" s="240">
        <f t="shared" si="12"/>
        <v>1.0049999999999999</v>
      </c>
      <c r="O38" s="240">
        <f>PRODUCT(tbl_Exh3.110[[#This Row],[Morbidity Adjustment]:[Other Adjustments]])</f>
        <v>1.0280519864999997</v>
      </c>
      <c r="P38" s="240" cm="1">
        <f t="array" ref="P38">PRODUCT(IF(VALUE(RIGHT(tbl_Exh3.110[Incurred Date (YYYYMM)],2))=VALUE(RIGHT(tbl_Exh3.110[[#This Row],[Incurred Date (YYYYMM)]],2)),IF(VALUE(LEFT(tbl_Exh3.110[Incurred Date (YYYYMM)],4))&lt;=VALUE(LEFT(tbl_Exh3.110[[#This Row],[Incurred Date (YYYYMM)]],4)),tbl_Exh3.110[Combined Adjustment],1),1))</f>
        <v>1.0568908869465956</v>
      </c>
      <c r="Q38" s="240">
        <f>INDEX(tbl_Exh3.110[Accumulated Adjustments],MATCH(VALUE(SUBSTITUTE(tbl_Exh3.110[[#This Row],[Incurred Date (YYYYMM)]],LEFT(tbl_Exh3.110[[#This Row],[Incurred Date (YYYYMM)]],4),ExperYear)),tbl_Exh3.110[Incurred Date (YYYYMM)],0))/tbl_Exh3.110[[#This Row],[Accumulated Adjustments]]</f>
        <v>1</v>
      </c>
      <c r="R38" s="241">
        <f ca="1">tbl_Exh3.110[[#This Row],[Allowable Rating Adjustment Normalization Factor]]*tbl_Exh3.110[[#This Row],[Predictive Ultimate Allowed EHB Claims PMPM]]</f>
        <v>374.08755630778819</v>
      </c>
      <c r="S38" s="252">
        <f t="shared" ca="1" si="10"/>
        <v>0.11568958090656878</v>
      </c>
      <c r="T38" s="252">
        <f t="shared" ca="1" si="11"/>
        <v>8.5242856179431836E-2</v>
      </c>
      <c r="U38" s="281"/>
      <c r="V38" s="281"/>
      <c r="W38" s="281"/>
      <c r="X38" s="254">
        <v>202404</v>
      </c>
      <c r="Y38" s="247">
        <f t="shared" si="14"/>
        <v>1.177225</v>
      </c>
      <c r="Z38" s="247">
        <f t="shared" ca="1" si="1"/>
        <v>-3.3471985723878897E-3</v>
      </c>
      <c r="AA38" s="247">
        <f t="shared" ca="1" si="2"/>
        <v>1.1738778014276121</v>
      </c>
      <c r="AB38" s="248"/>
      <c r="AC38" s="248"/>
      <c r="AD38" s="248"/>
    </row>
    <row r="39" spans="1:30" s="236" customFormat="1" ht="15.75" x14ac:dyDescent="0.25">
      <c r="A39" s="237">
        <f t="shared" si="3"/>
        <v>202405</v>
      </c>
      <c r="B39" s="238">
        <v>100000</v>
      </c>
      <c r="C39" s="345">
        <f ca="1">tbl_Exh3.110[[#This Row],[Member Months]]*300*(AA39)*tbl_Exh3.110[[#This Row],[Accumulated Adjustments]]+tbl_Exh3.110[[#This Row],[One-Time Adjustment for High Claims (Non-Predictive Claims)]]+tbl_Exh3.110[[#This Row],[One-Time Adjustment for HCRP Receipts]]</f>
        <v>37198184.229084633</v>
      </c>
      <c r="D39" s="239">
        <f t="shared" si="0"/>
        <v>0.98499999999999999</v>
      </c>
      <c r="E39" s="351">
        <f ca="1">tbl_Exh3.110[[#This Row],[Allowed Claims 
(as of 3/31/2025)]]/tbl_Exh3.110[[#This Row],[Allowed Claims Completion factor (based on IBNP estimates)]]</f>
        <v>37764654.039679833</v>
      </c>
      <c r="F39" s="355"/>
      <c r="G39" s="355"/>
      <c r="H39" s="345">
        <f ca="1">0.01*tbl_Exh3.110[[#This Row],[Ultimate Allowed Claims]]</f>
        <v>377646.54039679834</v>
      </c>
      <c r="I39" s="351">
        <f ca="1">tbl_Exh3.110[[#This Row],[Ultimate Allowed Claims]]-tbl_Exh3.110[[#This Row],[One-Time Adjustment for High Claims (Non-Predictive Claims)]]-tbl_Exh3.110[[#This Row],[One-Time Adjustment for HCRP Receipts]]-tbl_Exh3.110[[#This Row],[Non-EHB Allowed Claims]]</f>
        <v>37387007.499283038</v>
      </c>
      <c r="J39" s="323">
        <f ca="1">tbl_Exh3.110[[#This Row],[Predictive Ultimate Allowed EHB Claims]]/tbl_Exh3.110[[#This Row],[Member Months]]</f>
        <v>373.87007499283038</v>
      </c>
      <c r="K39" s="240">
        <f t="shared" si="13"/>
        <v>1.018</v>
      </c>
      <c r="L39" s="240">
        <f t="shared" si="12"/>
        <v>1.0149999999999999</v>
      </c>
      <c r="M39" s="240">
        <f t="shared" si="12"/>
        <v>0.99</v>
      </c>
      <c r="N39" s="240">
        <f t="shared" si="12"/>
        <v>1.0049999999999999</v>
      </c>
      <c r="O39" s="240">
        <f>PRODUCT(tbl_Exh3.110[[#This Row],[Morbidity Adjustment]:[Other Adjustments]])</f>
        <v>1.0280519864999997</v>
      </c>
      <c r="P39" s="240" cm="1">
        <f t="array" ref="P39">PRODUCT(IF(VALUE(RIGHT(tbl_Exh3.110[Incurred Date (YYYYMM)],2))=VALUE(RIGHT(tbl_Exh3.110[[#This Row],[Incurred Date (YYYYMM)]],2)),IF(VALUE(LEFT(tbl_Exh3.110[Incurred Date (YYYYMM)],4))&lt;=VALUE(LEFT(tbl_Exh3.110[[#This Row],[Incurred Date (YYYYMM)]],4)),tbl_Exh3.110[Combined Adjustment],1),1))</f>
        <v>1.0568908869465956</v>
      </c>
      <c r="Q39" s="240">
        <f>INDEX(tbl_Exh3.110[Accumulated Adjustments],MATCH(VALUE(SUBSTITUTE(tbl_Exh3.110[[#This Row],[Incurred Date (YYYYMM)]],LEFT(tbl_Exh3.110[[#This Row],[Incurred Date (YYYYMM)]],4),ExperYear)),tbl_Exh3.110[Incurred Date (YYYYMM)],0))/tbl_Exh3.110[[#This Row],[Accumulated Adjustments]]</f>
        <v>1</v>
      </c>
      <c r="R39" s="241">
        <f ca="1">tbl_Exh3.110[[#This Row],[Allowable Rating Adjustment Normalization Factor]]*tbl_Exh3.110[[#This Row],[Predictive Ultimate Allowed EHB Claims PMPM]]</f>
        <v>373.87007499283038</v>
      </c>
      <c r="S39" s="252">
        <f t="shared" ca="1" si="10"/>
        <v>0.11589101062245266</v>
      </c>
      <c r="T39" s="252">
        <f t="shared" ca="1" si="11"/>
        <v>8.5442311362891266E-2</v>
      </c>
      <c r="U39" s="281"/>
      <c r="V39" s="281"/>
      <c r="W39" s="281"/>
      <c r="X39" s="254">
        <v>202405</v>
      </c>
      <c r="Y39" s="247">
        <f t="shared" si="14"/>
        <v>1.177225</v>
      </c>
      <c r="Z39" s="247">
        <f t="shared" ca="1" si="1"/>
        <v>-4.0296497353562609E-3</v>
      </c>
      <c r="AA39" s="247">
        <f t="shared" ca="1" si="2"/>
        <v>1.1731953502646437</v>
      </c>
      <c r="AB39" s="248"/>
      <c r="AC39" s="248"/>
      <c r="AD39" s="248"/>
    </row>
    <row r="40" spans="1:30" s="236" customFormat="1" ht="15.75" x14ac:dyDescent="0.25">
      <c r="A40" s="237">
        <f t="shared" si="3"/>
        <v>202406</v>
      </c>
      <c r="B40" s="238">
        <v>100000</v>
      </c>
      <c r="C40" s="345">
        <f ca="1">tbl_Exh3.110[[#This Row],[Member Months]]*300*(AA40)*tbl_Exh3.110[[#This Row],[Accumulated Adjustments]]+tbl_Exh3.110[[#This Row],[One-Time Adjustment for High Claims (Non-Predictive Claims)]]+tbl_Exh3.110[[#This Row],[One-Time Adjustment for HCRP Receipts]]</f>
        <v>37173280.74495849</v>
      </c>
      <c r="D40" s="239">
        <f t="shared" si="0"/>
        <v>0.98499999999999999</v>
      </c>
      <c r="E40" s="351">
        <f ca="1">tbl_Exh3.110[[#This Row],[Allowed Claims 
(as of 3/31/2025)]]/tbl_Exh3.110[[#This Row],[Allowed Claims Completion factor (based on IBNP estimates)]]</f>
        <v>37739371.314678669</v>
      </c>
      <c r="F40" s="355"/>
      <c r="G40" s="355"/>
      <c r="H40" s="345">
        <f ca="1">0.01*tbl_Exh3.110[[#This Row],[Ultimate Allowed Claims]]</f>
        <v>377393.71314678667</v>
      </c>
      <c r="I40" s="351">
        <f ca="1">tbl_Exh3.110[[#This Row],[Ultimate Allowed Claims]]-tbl_Exh3.110[[#This Row],[One-Time Adjustment for High Claims (Non-Predictive Claims)]]-tbl_Exh3.110[[#This Row],[One-Time Adjustment for HCRP Receipts]]-tbl_Exh3.110[[#This Row],[Non-EHB Allowed Claims]]</f>
        <v>37361977.601531886</v>
      </c>
      <c r="J40" s="323">
        <f ca="1">tbl_Exh3.110[[#This Row],[Predictive Ultimate Allowed EHB Claims]]/tbl_Exh3.110[[#This Row],[Member Months]]</f>
        <v>373.61977601531885</v>
      </c>
      <c r="K40" s="240">
        <f t="shared" si="13"/>
        <v>1.018</v>
      </c>
      <c r="L40" s="240">
        <f t="shared" si="12"/>
        <v>1.0149999999999999</v>
      </c>
      <c r="M40" s="240">
        <f t="shared" si="12"/>
        <v>0.99</v>
      </c>
      <c r="N40" s="240">
        <f t="shared" si="12"/>
        <v>1.0049999999999999</v>
      </c>
      <c r="O40" s="240">
        <f>PRODUCT(tbl_Exh3.110[[#This Row],[Morbidity Adjustment]:[Other Adjustments]])</f>
        <v>1.0280519864999997</v>
      </c>
      <c r="P40" s="240" cm="1">
        <f t="array" ref="P40">PRODUCT(IF(VALUE(RIGHT(tbl_Exh3.110[Incurred Date (YYYYMM)],2))=VALUE(RIGHT(tbl_Exh3.110[[#This Row],[Incurred Date (YYYYMM)]],2)),IF(VALUE(LEFT(tbl_Exh3.110[Incurred Date (YYYYMM)],4))&lt;=VALUE(LEFT(tbl_Exh3.110[[#This Row],[Incurred Date (YYYYMM)]],4)),tbl_Exh3.110[Combined Adjustment],1),1))</f>
        <v>1.0568908869465956</v>
      </c>
      <c r="Q40" s="240">
        <f>INDEX(tbl_Exh3.110[Accumulated Adjustments],MATCH(VALUE(SUBSTITUTE(tbl_Exh3.110[[#This Row],[Incurred Date (YYYYMM)]],LEFT(tbl_Exh3.110[[#This Row],[Incurred Date (YYYYMM)]],4),ExperYear)),tbl_Exh3.110[Incurred Date (YYYYMM)],0))/tbl_Exh3.110[[#This Row],[Accumulated Adjustments]]</f>
        <v>1</v>
      </c>
      <c r="R40" s="241">
        <f ca="1">tbl_Exh3.110[[#This Row],[Allowable Rating Adjustment Normalization Factor]]*tbl_Exh3.110[[#This Row],[Predictive Ultimate Allowed EHB Claims PMPM]]</f>
        <v>373.61977601531885</v>
      </c>
      <c r="S40" s="252">
        <f t="shared" ca="1" si="10"/>
        <v>0.11542797957986339</v>
      </c>
      <c r="T40" s="252">
        <f t="shared" ca="1" si="11"/>
        <v>8.4996734954491338E-2</v>
      </c>
      <c r="U40" s="281"/>
      <c r="V40" s="281"/>
      <c r="W40" s="281"/>
      <c r="X40" s="254">
        <v>202406</v>
      </c>
      <c r="Y40" s="247">
        <f t="shared" si="14"/>
        <v>1.177225</v>
      </c>
      <c r="Z40" s="247">
        <f t="shared" ca="1" si="1"/>
        <v>-4.8150819382362393E-3</v>
      </c>
      <c r="AA40" s="247">
        <f t="shared" ca="1" si="2"/>
        <v>1.1724099180617638</v>
      </c>
      <c r="AB40" s="248"/>
      <c r="AC40" s="248"/>
      <c r="AD40" s="248"/>
    </row>
    <row r="41" spans="1:30" s="236" customFormat="1" ht="15.75" x14ac:dyDescent="0.25">
      <c r="A41" s="237">
        <f t="shared" si="3"/>
        <v>202407</v>
      </c>
      <c r="B41" s="238">
        <v>100000</v>
      </c>
      <c r="C41" s="345">
        <f ca="1">tbl_Exh3.110[[#This Row],[Member Months]]*300*(AA41)*tbl_Exh3.110[[#This Row],[Accumulated Adjustments]]+tbl_Exh3.110[[#This Row],[One-Time Adjustment for High Claims (Non-Predictive Claims)]]+tbl_Exh3.110[[#This Row],[One-Time Adjustment for HCRP Receipts]]</f>
        <v>37212404.765664645</v>
      </c>
      <c r="D41" s="239">
        <f t="shared" si="0"/>
        <v>0.98499999999999999</v>
      </c>
      <c r="E41" s="351">
        <f ca="1">tbl_Exh3.110[[#This Row],[Allowed Claims 
(as of 3/31/2025)]]/tbl_Exh3.110[[#This Row],[Allowed Claims Completion factor (based on IBNP estimates)]]</f>
        <v>37779091.132654458</v>
      </c>
      <c r="F41" s="355"/>
      <c r="G41" s="355"/>
      <c r="H41" s="345">
        <f ca="1">0.01*tbl_Exh3.110[[#This Row],[Ultimate Allowed Claims]]</f>
        <v>377790.91132654459</v>
      </c>
      <c r="I41" s="351">
        <f ca="1">tbl_Exh3.110[[#This Row],[Ultimate Allowed Claims]]-tbl_Exh3.110[[#This Row],[One-Time Adjustment for High Claims (Non-Predictive Claims)]]-tbl_Exh3.110[[#This Row],[One-Time Adjustment for HCRP Receipts]]-tbl_Exh3.110[[#This Row],[Non-EHB Allowed Claims]]</f>
        <v>37401300.221327916</v>
      </c>
      <c r="J41" s="323">
        <f ca="1">tbl_Exh3.110[[#This Row],[Predictive Ultimate Allowed EHB Claims]]/tbl_Exh3.110[[#This Row],[Member Months]]</f>
        <v>374.01300221327915</v>
      </c>
      <c r="K41" s="240">
        <f t="shared" si="13"/>
        <v>1.018</v>
      </c>
      <c r="L41" s="240">
        <f t="shared" si="12"/>
        <v>1.0149999999999999</v>
      </c>
      <c r="M41" s="240">
        <f t="shared" si="12"/>
        <v>0.99</v>
      </c>
      <c r="N41" s="240">
        <f t="shared" si="12"/>
        <v>1.0049999999999999</v>
      </c>
      <c r="O41" s="240">
        <f>PRODUCT(tbl_Exh3.110[[#This Row],[Morbidity Adjustment]:[Other Adjustments]])</f>
        <v>1.0280519864999997</v>
      </c>
      <c r="P41" s="240" cm="1">
        <f t="array" ref="P41">PRODUCT(IF(VALUE(RIGHT(tbl_Exh3.110[Incurred Date (YYYYMM)],2))=VALUE(RIGHT(tbl_Exh3.110[[#This Row],[Incurred Date (YYYYMM)]],2)),IF(VALUE(LEFT(tbl_Exh3.110[Incurred Date (YYYYMM)],4))&lt;=VALUE(LEFT(tbl_Exh3.110[[#This Row],[Incurred Date (YYYYMM)]],4)),tbl_Exh3.110[Combined Adjustment],1),1))</f>
        <v>1.0568908869465956</v>
      </c>
      <c r="Q41" s="240">
        <f>INDEX(tbl_Exh3.110[Accumulated Adjustments],MATCH(VALUE(SUBSTITUTE(tbl_Exh3.110[[#This Row],[Incurred Date (YYYYMM)]],LEFT(tbl_Exh3.110[[#This Row],[Incurred Date (YYYYMM)]],4),ExperYear)),tbl_Exh3.110[Incurred Date (YYYYMM)],0))/tbl_Exh3.110[[#This Row],[Accumulated Adjustments]]</f>
        <v>1</v>
      </c>
      <c r="R41" s="241">
        <f ca="1">tbl_Exh3.110[[#This Row],[Allowable Rating Adjustment Normalization Factor]]*tbl_Exh3.110[[#This Row],[Predictive Ultimate Allowed EHB Claims PMPM]]</f>
        <v>374.01300221327915</v>
      </c>
      <c r="S41" s="252">
        <f t="shared" ca="1" si="10"/>
        <v>0.11508872969973671</v>
      </c>
      <c r="T41" s="252">
        <f t="shared" ca="1" si="11"/>
        <v>8.4668348280893424E-2</v>
      </c>
      <c r="U41" s="281"/>
      <c r="V41" s="281"/>
      <c r="W41" s="281"/>
      <c r="X41" s="254">
        <v>202407</v>
      </c>
      <c r="Y41" s="247">
        <f t="shared" si="14"/>
        <v>1.177225</v>
      </c>
      <c r="Z41" s="247">
        <f t="shared" ca="1" si="1"/>
        <v>-3.5811475372061821E-3</v>
      </c>
      <c r="AA41" s="247">
        <f t="shared" ca="1" si="2"/>
        <v>1.1736438524627937</v>
      </c>
      <c r="AB41" s="248"/>
      <c r="AC41" s="248"/>
      <c r="AD41" s="248"/>
    </row>
    <row r="42" spans="1:30" s="236" customFormat="1" ht="15.75" x14ac:dyDescent="0.25">
      <c r="A42" s="237">
        <f t="shared" si="3"/>
        <v>202408</v>
      </c>
      <c r="B42" s="238">
        <v>100000</v>
      </c>
      <c r="C42" s="345">
        <f ca="1">tbl_Exh3.110[[#This Row],[Member Months]]*300*(AA42)*tbl_Exh3.110[[#This Row],[Accumulated Adjustments]]+tbl_Exh3.110[[#This Row],[One-Time Adjustment for High Claims (Non-Predictive Claims)]]+tbl_Exh3.110[[#This Row],[One-Time Adjustment for HCRP Receipts]]</f>
        <v>37288002.535857931</v>
      </c>
      <c r="D42" s="239">
        <f t="shared" si="0"/>
        <v>0.98499999999999999</v>
      </c>
      <c r="E42" s="351">
        <f ca="1">tbl_Exh3.110[[#This Row],[Allowed Claims 
(as of 3/31/2025)]]/tbl_Exh3.110[[#This Row],[Allowed Claims Completion factor (based on IBNP estimates)]]</f>
        <v>37855840.137926832</v>
      </c>
      <c r="F42" s="355"/>
      <c r="G42" s="355"/>
      <c r="H42" s="345">
        <f ca="1">0.01*tbl_Exh3.110[[#This Row],[Ultimate Allowed Claims]]</f>
        <v>378558.40137926833</v>
      </c>
      <c r="I42" s="351">
        <f ca="1">tbl_Exh3.110[[#This Row],[Ultimate Allowed Claims]]-tbl_Exh3.110[[#This Row],[One-Time Adjustment for High Claims (Non-Predictive Claims)]]-tbl_Exh3.110[[#This Row],[One-Time Adjustment for HCRP Receipts]]-tbl_Exh3.110[[#This Row],[Non-EHB Allowed Claims]]</f>
        <v>37477281.736547567</v>
      </c>
      <c r="J42" s="323">
        <f ca="1">tbl_Exh3.110[[#This Row],[Predictive Ultimate Allowed EHB Claims]]/tbl_Exh3.110[[#This Row],[Member Months]]</f>
        <v>374.77281736547565</v>
      </c>
      <c r="K42" s="240">
        <f t="shared" si="13"/>
        <v>1.018</v>
      </c>
      <c r="L42" s="240">
        <f t="shared" si="12"/>
        <v>1.0149999999999999</v>
      </c>
      <c r="M42" s="240">
        <f t="shared" si="12"/>
        <v>0.99</v>
      </c>
      <c r="N42" s="240">
        <f t="shared" si="12"/>
        <v>1.0049999999999999</v>
      </c>
      <c r="O42" s="240">
        <f>PRODUCT(tbl_Exh3.110[[#This Row],[Morbidity Adjustment]:[Other Adjustments]])</f>
        <v>1.0280519864999997</v>
      </c>
      <c r="P42" s="240" cm="1">
        <f t="array" ref="P42">PRODUCT(IF(VALUE(RIGHT(tbl_Exh3.110[Incurred Date (YYYYMM)],2))=VALUE(RIGHT(tbl_Exh3.110[[#This Row],[Incurred Date (YYYYMM)]],2)),IF(VALUE(LEFT(tbl_Exh3.110[Incurred Date (YYYYMM)],4))&lt;=VALUE(LEFT(tbl_Exh3.110[[#This Row],[Incurred Date (YYYYMM)]],4)),tbl_Exh3.110[Combined Adjustment],1),1))</f>
        <v>1.0568908869465956</v>
      </c>
      <c r="Q42" s="240">
        <f>INDEX(tbl_Exh3.110[Accumulated Adjustments],MATCH(VALUE(SUBSTITUTE(tbl_Exh3.110[[#This Row],[Incurred Date (YYYYMM)]],LEFT(tbl_Exh3.110[[#This Row],[Incurred Date (YYYYMM)]],4),ExperYear)),tbl_Exh3.110[Incurred Date (YYYYMM)],0))/tbl_Exh3.110[[#This Row],[Accumulated Adjustments]]</f>
        <v>1</v>
      </c>
      <c r="R42" s="241">
        <f ca="1">tbl_Exh3.110[[#This Row],[Allowable Rating Adjustment Normalization Factor]]*tbl_Exh3.110[[#This Row],[Predictive Ultimate Allowed EHB Claims PMPM]]</f>
        <v>374.77281736547565</v>
      </c>
      <c r="S42" s="252">
        <f t="shared" ca="1" si="10"/>
        <v>0.1151896214388477</v>
      </c>
      <c r="T42" s="252">
        <f t="shared" ca="1" si="11"/>
        <v>8.4762141081619502E-2</v>
      </c>
      <c r="U42" s="281"/>
      <c r="V42" s="281"/>
      <c r="W42" s="281"/>
      <c r="X42" s="254">
        <v>202408</v>
      </c>
      <c r="Y42" s="247">
        <f t="shared" si="14"/>
        <v>1.177225</v>
      </c>
      <c r="Z42" s="247">
        <f t="shared" ca="1" si="1"/>
        <v>-1.1968657686409635E-3</v>
      </c>
      <c r="AA42" s="247">
        <f t="shared" ca="1" si="2"/>
        <v>1.176028134231359</v>
      </c>
      <c r="AB42" s="248"/>
      <c r="AC42" s="248"/>
      <c r="AD42" s="248"/>
    </row>
    <row r="43" spans="1:30" s="236" customFormat="1" ht="15.75" x14ac:dyDescent="0.25">
      <c r="A43" s="237">
        <f t="shared" si="3"/>
        <v>202409</v>
      </c>
      <c r="B43" s="238">
        <v>100000</v>
      </c>
      <c r="C43" s="345">
        <f ca="1">tbl_Exh3.110[[#This Row],[Member Months]]*300*(AA43)*tbl_Exh3.110[[#This Row],[Accumulated Adjustments]]+tbl_Exh3.110[[#This Row],[One-Time Adjustment for High Claims (Non-Predictive Claims)]]+tbl_Exh3.110[[#This Row],[One-Time Adjustment for HCRP Receipts]]</f>
        <v>37319911.118317544</v>
      </c>
      <c r="D43" s="239">
        <f t="shared" si="0"/>
        <v>0.98499999999999999</v>
      </c>
      <c r="E43" s="351">
        <f ca="1">tbl_Exh3.110[[#This Row],[Allowed Claims 
(as of 3/31/2025)]]/tbl_Exh3.110[[#This Row],[Allowed Claims Completion factor (based on IBNP estimates)]]</f>
        <v>37888234.637885831</v>
      </c>
      <c r="F43" s="355"/>
      <c r="G43" s="355"/>
      <c r="H43" s="345">
        <f ca="1">0.01*tbl_Exh3.110[[#This Row],[Ultimate Allowed Claims]]</f>
        <v>378882.34637885832</v>
      </c>
      <c r="I43" s="351">
        <f ca="1">tbl_Exh3.110[[#This Row],[Ultimate Allowed Claims]]-tbl_Exh3.110[[#This Row],[One-Time Adjustment for High Claims (Non-Predictive Claims)]]-tbl_Exh3.110[[#This Row],[One-Time Adjustment for HCRP Receipts]]-tbl_Exh3.110[[#This Row],[Non-EHB Allowed Claims]]</f>
        <v>37509352.291506976</v>
      </c>
      <c r="J43" s="323">
        <f ca="1">tbl_Exh3.110[[#This Row],[Predictive Ultimate Allowed EHB Claims]]/tbl_Exh3.110[[#This Row],[Member Months]]</f>
        <v>375.09352291506974</v>
      </c>
      <c r="K43" s="240">
        <f t="shared" si="13"/>
        <v>1.018</v>
      </c>
      <c r="L43" s="240">
        <f t="shared" si="12"/>
        <v>1.0149999999999999</v>
      </c>
      <c r="M43" s="240">
        <f t="shared" si="12"/>
        <v>0.99</v>
      </c>
      <c r="N43" s="240">
        <f t="shared" si="12"/>
        <v>1.0049999999999999</v>
      </c>
      <c r="O43" s="240">
        <f>PRODUCT(tbl_Exh3.110[[#This Row],[Morbidity Adjustment]:[Other Adjustments]])</f>
        <v>1.0280519864999997</v>
      </c>
      <c r="P43" s="240" cm="1">
        <f t="array" ref="P43">PRODUCT(IF(VALUE(RIGHT(tbl_Exh3.110[Incurred Date (YYYYMM)],2))=VALUE(RIGHT(tbl_Exh3.110[[#This Row],[Incurred Date (YYYYMM)]],2)),IF(VALUE(LEFT(tbl_Exh3.110[Incurred Date (YYYYMM)],4))&lt;=VALUE(LEFT(tbl_Exh3.110[[#This Row],[Incurred Date (YYYYMM)]],4)),tbl_Exh3.110[Combined Adjustment],1),1))</f>
        <v>1.0568908869465956</v>
      </c>
      <c r="Q43" s="240">
        <f>INDEX(tbl_Exh3.110[Accumulated Adjustments],MATCH(VALUE(SUBSTITUTE(tbl_Exh3.110[[#This Row],[Incurred Date (YYYYMM)]],LEFT(tbl_Exh3.110[[#This Row],[Incurred Date (YYYYMM)]],4),ExperYear)),tbl_Exh3.110[Incurred Date (YYYYMM)],0))/tbl_Exh3.110[[#This Row],[Accumulated Adjustments]]</f>
        <v>1</v>
      </c>
      <c r="R43" s="241">
        <f ca="1">tbl_Exh3.110[[#This Row],[Allowable Rating Adjustment Normalization Factor]]*tbl_Exh3.110[[#This Row],[Predictive Ultimate Allowed EHB Claims PMPM]]</f>
        <v>375.09352291506974</v>
      </c>
      <c r="S43" s="252">
        <f t="shared" ca="1" si="10"/>
        <v>0.11524763516792991</v>
      </c>
      <c r="T43" s="252">
        <f t="shared" ca="1" si="11"/>
        <v>8.4815756707161682E-2</v>
      </c>
      <c r="U43" s="281"/>
      <c r="V43" s="281"/>
      <c r="W43" s="281"/>
      <c r="X43" s="254">
        <v>202409</v>
      </c>
      <c r="Y43" s="247">
        <f t="shared" si="14"/>
        <v>1.177225</v>
      </c>
      <c r="Z43" s="247">
        <f t="shared" ca="1" si="1"/>
        <v>-1.9049942708492142E-4</v>
      </c>
      <c r="AA43" s="247">
        <f t="shared" ca="1" si="2"/>
        <v>1.177034500572915</v>
      </c>
      <c r="AB43" s="248"/>
      <c r="AC43" s="248"/>
      <c r="AD43" s="248"/>
    </row>
    <row r="44" spans="1:30" s="236" customFormat="1" ht="15.75" x14ac:dyDescent="0.25">
      <c r="A44" s="237">
        <f t="shared" si="3"/>
        <v>202410</v>
      </c>
      <c r="B44" s="238">
        <v>100000</v>
      </c>
      <c r="C44" s="345">
        <f ca="1">tbl_Exh3.110[[#This Row],[Member Months]]*300*(AA44)*tbl_Exh3.110[[#This Row],[Accumulated Adjustments]]+tbl_Exh3.110[[#This Row],[One-Time Adjustment for High Claims (Non-Predictive Claims)]]+tbl_Exh3.110[[#This Row],[One-Time Adjustment for HCRP Receipts]]</f>
        <v>37264998.653180584</v>
      </c>
      <c r="D44" s="239">
        <f t="shared" si="0"/>
        <v>0.98499999999999999</v>
      </c>
      <c r="E44" s="351">
        <f ca="1">tbl_Exh3.110[[#This Row],[Allowed Claims 
(as of 3/31/2025)]]/tbl_Exh3.110[[#This Row],[Allowed Claims Completion factor (based on IBNP estimates)]]</f>
        <v>37832485.942315318</v>
      </c>
      <c r="F44" s="355"/>
      <c r="G44" s="355"/>
      <c r="H44" s="345">
        <f ca="1">0.01*tbl_Exh3.110[[#This Row],[Ultimate Allowed Claims]]</f>
        <v>378324.85942315316</v>
      </c>
      <c r="I44" s="351">
        <f ca="1">tbl_Exh3.110[[#This Row],[Ultimate Allowed Claims]]-tbl_Exh3.110[[#This Row],[One-Time Adjustment for High Claims (Non-Predictive Claims)]]-tbl_Exh3.110[[#This Row],[One-Time Adjustment for HCRP Receipts]]-tbl_Exh3.110[[#This Row],[Non-EHB Allowed Claims]]</f>
        <v>37454161.082892165</v>
      </c>
      <c r="J44" s="323">
        <f ca="1">tbl_Exh3.110[[#This Row],[Predictive Ultimate Allowed EHB Claims]]/tbl_Exh3.110[[#This Row],[Member Months]]</f>
        <v>374.54161082892165</v>
      </c>
      <c r="K44" s="240">
        <f t="shared" si="13"/>
        <v>1.018</v>
      </c>
      <c r="L44" s="240">
        <f t="shared" si="12"/>
        <v>1.0149999999999999</v>
      </c>
      <c r="M44" s="240">
        <f t="shared" si="12"/>
        <v>0.99</v>
      </c>
      <c r="N44" s="240">
        <f t="shared" si="12"/>
        <v>1.0049999999999999</v>
      </c>
      <c r="O44" s="240">
        <f>PRODUCT(tbl_Exh3.110[[#This Row],[Morbidity Adjustment]:[Other Adjustments]])</f>
        <v>1.0280519864999997</v>
      </c>
      <c r="P44" s="240" cm="1">
        <f t="array" ref="P44">PRODUCT(IF(VALUE(RIGHT(tbl_Exh3.110[Incurred Date (YYYYMM)],2))=VALUE(RIGHT(tbl_Exh3.110[[#This Row],[Incurred Date (YYYYMM)]],2)),IF(VALUE(LEFT(tbl_Exh3.110[Incurred Date (YYYYMM)],4))&lt;=VALUE(LEFT(tbl_Exh3.110[[#This Row],[Incurred Date (YYYYMM)]],4)),tbl_Exh3.110[Combined Adjustment],1),1))</f>
        <v>1.0568908869465956</v>
      </c>
      <c r="Q44" s="240">
        <f>INDEX(tbl_Exh3.110[Accumulated Adjustments],MATCH(VALUE(SUBSTITUTE(tbl_Exh3.110[[#This Row],[Incurred Date (YYYYMM)]],LEFT(tbl_Exh3.110[[#This Row],[Incurred Date (YYYYMM)]],4),ExperYear)),tbl_Exh3.110[Incurred Date (YYYYMM)],0))/tbl_Exh3.110[[#This Row],[Accumulated Adjustments]]</f>
        <v>1</v>
      </c>
      <c r="R44" s="241">
        <f ca="1">tbl_Exh3.110[[#This Row],[Allowable Rating Adjustment Normalization Factor]]*tbl_Exh3.110[[#This Row],[Predictive Ultimate Allowed EHB Claims PMPM]]</f>
        <v>374.54161082892165</v>
      </c>
      <c r="S44" s="252">
        <f t="shared" ca="1" si="10"/>
        <v>0.11581093940961407</v>
      </c>
      <c r="T44" s="252">
        <f t="shared" ca="1" si="11"/>
        <v>8.53696710259777E-2</v>
      </c>
      <c r="U44" s="281"/>
      <c r="V44" s="281"/>
      <c r="W44" s="281"/>
      <c r="X44" s="254">
        <v>202410</v>
      </c>
      <c r="Y44" s="247">
        <f t="shared" si="14"/>
        <v>1.177225</v>
      </c>
      <c r="Z44" s="247">
        <f t="shared" ca="1" si="1"/>
        <v>-1.9223863485942861E-3</v>
      </c>
      <c r="AA44" s="247">
        <f t="shared" ca="1" si="2"/>
        <v>1.1753026136514058</v>
      </c>
      <c r="AB44" s="248"/>
      <c r="AC44" s="248"/>
      <c r="AD44" s="248"/>
    </row>
    <row r="45" spans="1:30" s="236" customFormat="1" ht="15.75" x14ac:dyDescent="0.25">
      <c r="A45" s="237">
        <f t="shared" si="3"/>
        <v>202411</v>
      </c>
      <c r="B45" s="238">
        <v>100000</v>
      </c>
      <c r="C45" s="345">
        <f ca="1">tbl_Exh3.110[[#This Row],[Member Months]]*300*(AA45)*tbl_Exh3.110[[#This Row],[Accumulated Adjustments]]+tbl_Exh3.110[[#This Row],[One-Time Adjustment for High Claims (Non-Predictive Claims)]]+tbl_Exh3.110[[#This Row],[One-Time Adjustment for HCRP Receipts]]</f>
        <v>37239454.571105033</v>
      </c>
      <c r="D45" s="239">
        <f t="shared" si="0"/>
        <v>0.98499999999999999</v>
      </c>
      <c r="E45" s="351">
        <f ca="1">tbl_Exh3.110[[#This Row],[Allowed Claims 
(as of 3/31/2025)]]/tbl_Exh3.110[[#This Row],[Allowed Claims Completion factor (based on IBNP estimates)]]</f>
        <v>37806552.864066027</v>
      </c>
      <c r="F45" s="355"/>
      <c r="G45" s="355"/>
      <c r="H45" s="345">
        <f ca="1">0.01*tbl_Exh3.110[[#This Row],[Ultimate Allowed Claims]]</f>
        <v>378065.52864066028</v>
      </c>
      <c r="I45" s="351">
        <f ca="1">tbl_Exh3.110[[#This Row],[Ultimate Allowed Claims]]-tbl_Exh3.110[[#This Row],[One-Time Adjustment for High Claims (Non-Predictive Claims)]]-tbl_Exh3.110[[#This Row],[One-Time Adjustment for HCRP Receipts]]-tbl_Exh3.110[[#This Row],[Non-EHB Allowed Claims]]</f>
        <v>37428487.335425369</v>
      </c>
      <c r="J45" s="323">
        <f ca="1">tbl_Exh3.110[[#This Row],[Predictive Ultimate Allowed EHB Claims]]/tbl_Exh3.110[[#This Row],[Member Months]]</f>
        <v>374.2848733542537</v>
      </c>
      <c r="K45" s="240">
        <f t="shared" si="13"/>
        <v>1.018</v>
      </c>
      <c r="L45" s="240">
        <f t="shared" si="12"/>
        <v>1.0149999999999999</v>
      </c>
      <c r="M45" s="240">
        <f t="shared" si="12"/>
        <v>0.99</v>
      </c>
      <c r="N45" s="240">
        <f t="shared" si="12"/>
        <v>1.0049999999999999</v>
      </c>
      <c r="O45" s="240">
        <f>PRODUCT(tbl_Exh3.110[[#This Row],[Morbidity Adjustment]:[Other Adjustments]])</f>
        <v>1.0280519864999997</v>
      </c>
      <c r="P45" s="240" cm="1">
        <f t="array" ref="P45">PRODUCT(IF(VALUE(RIGHT(tbl_Exh3.110[Incurred Date (YYYYMM)],2))=VALUE(RIGHT(tbl_Exh3.110[[#This Row],[Incurred Date (YYYYMM)]],2)),IF(VALUE(LEFT(tbl_Exh3.110[Incurred Date (YYYYMM)],4))&lt;=VALUE(LEFT(tbl_Exh3.110[[#This Row],[Incurred Date (YYYYMM)]],4)),tbl_Exh3.110[Combined Adjustment],1),1))</f>
        <v>1.0568908869465956</v>
      </c>
      <c r="Q45" s="240">
        <f>INDEX(tbl_Exh3.110[Accumulated Adjustments],MATCH(VALUE(SUBSTITUTE(tbl_Exh3.110[[#This Row],[Incurred Date (YYYYMM)]],LEFT(tbl_Exh3.110[[#This Row],[Incurred Date (YYYYMM)]],4),ExperYear)),tbl_Exh3.110[Incurred Date (YYYYMM)],0))/tbl_Exh3.110[[#This Row],[Accumulated Adjustments]]</f>
        <v>1</v>
      </c>
      <c r="R45" s="241">
        <f ca="1">tbl_Exh3.110[[#This Row],[Allowable Rating Adjustment Normalization Factor]]*tbl_Exh3.110[[#This Row],[Predictive Ultimate Allowed EHB Claims PMPM]]</f>
        <v>374.2848733542537</v>
      </c>
      <c r="S45" s="252">
        <f t="shared" ca="1" si="10"/>
        <v>0.11580205098648233</v>
      </c>
      <c r="T45" s="252">
        <f t="shared" ca="1" si="11"/>
        <v>8.536014737101616E-2</v>
      </c>
      <c r="U45" s="281"/>
      <c r="V45" s="281"/>
      <c r="W45" s="281"/>
      <c r="X45" s="254">
        <v>202411</v>
      </c>
      <c r="Y45" s="247">
        <f t="shared" si="14"/>
        <v>1.177225</v>
      </c>
      <c r="Z45" s="247">
        <f t="shared" ca="1" si="1"/>
        <v>-2.7280224015064562E-3</v>
      </c>
      <c r="AA45" s="247">
        <f t="shared" ca="1" si="2"/>
        <v>1.1744969775984935</v>
      </c>
      <c r="AB45" s="248"/>
      <c r="AC45" s="248"/>
      <c r="AD45" s="248"/>
    </row>
    <row r="46" spans="1:30" s="236" customFormat="1" ht="15.75" x14ac:dyDescent="0.25">
      <c r="A46" s="255">
        <f>(ExperYear&amp;"12")*1</f>
        <v>202412</v>
      </c>
      <c r="B46" s="238">
        <v>100000</v>
      </c>
      <c r="C46" s="345">
        <f ca="1">tbl_Exh3.110[[#This Row],[Member Months]]*300*(AA46)*tbl_Exh3.110[[#This Row],[Accumulated Adjustments]]+tbl_Exh3.110[[#This Row],[One-Time Adjustment for High Claims (Non-Predictive Claims)]]+tbl_Exh3.110[[#This Row],[One-Time Adjustment for HCRP Receipts]]</f>
        <v>37306585.767114013</v>
      </c>
      <c r="D46" s="256">
        <f t="shared" si="0"/>
        <v>0.98499999999999999</v>
      </c>
      <c r="E46" s="351">
        <f ca="1">tbl_Exh3.110[[#This Row],[Allowed Claims 
(as of 3/31/2025)]]/tbl_Exh3.110[[#This Row],[Allowed Claims Completion factor (based on IBNP estimates)]]</f>
        <v>37874706.3625523</v>
      </c>
      <c r="F46" s="361"/>
      <c r="G46" s="361"/>
      <c r="H46" s="354">
        <f ca="1">0.01*tbl_Exh3.110[[#This Row],[Ultimate Allowed Claims]]</f>
        <v>378747.06362552301</v>
      </c>
      <c r="I46" s="351">
        <f ca="1">tbl_Exh3.110[[#This Row],[Ultimate Allowed Claims]]-tbl_Exh3.110[[#This Row],[One-Time Adjustment for High Claims (Non-Predictive Claims)]]-tbl_Exh3.110[[#This Row],[One-Time Adjustment for HCRP Receipts]]-tbl_Exh3.110[[#This Row],[Non-EHB Allowed Claims]]</f>
        <v>37495959.298926778</v>
      </c>
      <c r="J46" s="324">
        <f ca="1">tbl_Exh3.110[[#This Row],[Predictive Ultimate Allowed EHB Claims]]/tbl_Exh3.110[[#This Row],[Member Months]]</f>
        <v>374.95959298926778</v>
      </c>
      <c r="K46" s="240">
        <f t="shared" si="13"/>
        <v>1.018</v>
      </c>
      <c r="L46" s="240">
        <f t="shared" si="12"/>
        <v>1.0149999999999999</v>
      </c>
      <c r="M46" s="240">
        <f t="shared" si="12"/>
        <v>0.99</v>
      </c>
      <c r="N46" s="240">
        <f t="shared" si="12"/>
        <v>1.0049999999999999</v>
      </c>
      <c r="O46" s="257">
        <f>PRODUCT(tbl_Exh3.110[[#This Row],[Morbidity Adjustment]:[Other Adjustments]])</f>
        <v>1.0280519864999997</v>
      </c>
      <c r="P46" s="257" cm="1">
        <f t="array" ref="P46">PRODUCT(IF(VALUE(RIGHT(tbl_Exh3.110[Incurred Date (YYYYMM)],2))=VALUE(RIGHT(tbl_Exh3.110[[#This Row],[Incurred Date (YYYYMM)]],2)),IF(VALUE(LEFT(tbl_Exh3.110[Incurred Date (YYYYMM)],4))&lt;=VALUE(LEFT(tbl_Exh3.110[[#This Row],[Incurred Date (YYYYMM)]],4)),tbl_Exh3.110[Combined Adjustment],1),1))</f>
        <v>1.0568908869465956</v>
      </c>
      <c r="Q46" s="257">
        <f>INDEX(tbl_Exh3.110[Accumulated Adjustments],MATCH(VALUE(SUBSTITUTE(tbl_Exh3.110[[#This Row],[Incurred Date (YYYYMM)]],LEFT(tbl_Exh3.110[[#This Row],[Incurred Date (YYYYMM)]],4),ExperYear)),tbl_Exh3.110[Incurred Date (YYYYMM)],0))/tbl_Exh3.110[[#This Row],[Accumulated Adjustments]]</f>
        <v>1</v>
      </c>
      <c r="R46" s="258">
        <f ca="1">tbl_Exh3.110[[#This Row],[Allowable Rating Adjustment Normalization Factor]]*tbl_Exh3.110[[#This Row],[Predictive Ultimate Allowed EHB Claims PMPM]]</f>
        <v>374.95959298926778</v>
      </c>
      <c r="S46" s="252">
        <f t="shared" ca="1" si="10"/>
        <v>0.11566277099907363</v>
      </c>
      <c r="T46" s="252">
        <f t="shared" ca="1" si="11"/>
        <v>8.5220188910236638E-2</v>
      </c>
      <c r="U46" s="281"/>
      <c r="V46" s="281"/>
      <c r="W46" s="281"/>
      <c r="X46" s="253">
        <v>202412</v>
      </c>
      <c r="Y46" s="245">
        <f t="shared" si="14"/>
        <v>1.177225</v>
      </c>
      <c r="Z46" s="245">
        <f t="shared" ca="1" si="1"/>
        <v>-6.1076832989870712E-4</v>
      </c>
      <c r="AA46" s="245">
        <f t="shared" ca="1" si="2"/>
        <v>1.1766142316701012</v>
      </c>
      <c r="AB46" s="245">
        <f>AVERAGE(Y35:Y46)</f>
        <v>1.177225</v>
      </c>
      <c r="AC46" s="245">
        <f t="shared" ref="AC46:AD46" ca="1" si="15">AVERAGE(Z35:Z46)</f>
        <v>-2.5552747337700896E-3</v>
      </c>
      <c r="AD46" s="245">
        <f t="shared" ca="1" si="15"/>
        <v>1.1746697252662299</v>
      </c>
    </row>
    <row r="47" spans="1:30" s="82" customFormat="1" ht="15.75" x14ac:dyDescent="0.25">
      <c r="X47" s="273"/>
      <c r="Y47" s="273"/>
      <c r="Z47" s="273"/>
      <c r="AA47" s="273"/>
      <c r="AB47" s="229"/>
      <c r="AC47" s="229"/>
      <c r="AD47" s="229"/>
    </row>
    <row r="48" spans="1:30" s="82" customFormat="1" ht="21" x14ac:dyDescent="0.35">
      <c r="A48" s="269" t="s">
        <v>166</v>
      </c>
      <c r="X48" s="273"/>
      <c r="Y48" s="273"/>
      <c r="Z48" s="273"/>
      <c r="AA48" s="273"/>
      <c r="AB48" s="273"/>
      <c r="AC48" s="273"/>
      <c r="AD48" s="273"/>
    </row>
    <row r="49" spans="1:30" s="82" customFormat="1" ht="123" customHeight="1" x14ac:dyDescent="0.25">
      <c r="A49" s="319" t="s">
        <v>167</v>
      </c>
      <c r="B49" s="320" t="s">
        <v>168</v>
      </c>
      <c r="C49" s="316" t="s">
        <v>169</v>
      </c>
      <c r="D49" s="320" t="s">
        <v>182</v>
      </c>
      <c r="E49" s="320" t="s">
        <v>171</v>
      </c>
      <c r="F49" s="316" t="s">
        <v>172</v>
      </c>
      <c r="G49" s="316" t="s">
        <v>173</v>
      </c>
      <c r="H49" s="316" t="s">
        <v>174</v>
      </c>
      <c r="I49" s="320" t="s">
        <v>175</v>
      </c>
      <c r="J49" s="320" t="s">
        <v>176</v>
      </c>
      <c r="O49" s="272"/>
      <c r="X49" s="273"/>
      <c r="Y49" s="273"/>
      <c r="Z49" s="273"/>
      <c r="AA49" s="273"/>
      <c r="AB49" s="273"/>
      <c r="AC49" s="273"/>
      <c r="AD49" s="273"/>
    </row>
    <row r="50" spans="1:30" s="82" customFormat="1" ht="15.75" x14ac:dyDescent="0.25">
      <c r="A50" s="420">
        <v>2022</v>
      </c>
      <c r="B50" s="266" cm="1">
        <f t="array" ref="B50">SUMPRODUCT((ROUNDDOWN(tbl_Exh3.110[Incurred Date (YYYYMM)]/100,0)=$A50)*tbl_Exh3.110[Member Months])</f>
        <v>1200000</v>
      </c>
      <c r="C50" s="351" cm="1">
        <f t="array" aca="1" ref="C50" ca="1">SUMPRODUCT((ROUNDDOWN(tbl_Exh3.110[Incurred Date (YYYYMM)]/100,0)=A50)*tbl_Exh3.110[Allowed Claims 
(as of 3/31/2025)])</f>
        <v>359345625.87615663</v>
      </c>
      <c r="D50" s="321"/>
      <c r="E50" s="351" cm="1">
        <f t="array" aca="1" ref="E50" ca="1">SUMPRODUCT((ROUNDDOWN(tbl_Exh3.110[Incurred Date (YYYYMM)]/100,0)=A50)*tbl_Exh3.110[Ultimate Allowed Claims])</f>
        <v>364817894.29051435</v>
      </c>
      <c r="F50" s="351" cm="1">
        <f t="array" ref="F50">SUMPRODUCT((ROUNDDOWN(tbl_Exh3.110[Incurred Date (YYYYMM)]/100,0)=A50)*tbl_Exh3.110[One-Time Adjustment for High Claims (Non-Predictive Claims)])</f>
        <v>50000</v>
      </c>
      <c r="G50" s="351" cm="1">
        <f t="array" ref="G50">SUMPRODUCT((ROUNDDOWN(tbl_Exh3.110[Incurred Date (YYYYMM)]/100,0)=A50)*tbl_Exh3.110[One-Time Adjustment for HCRP Receipts])</f>
        <v>0</v>
      </c>
      <c r="H50" s="351" cm="1">
        <f t="array" aca="1" ref="H50" ca="1">SUMPRODUCT((ROUNDDOWN(tbl_Exh3.110[Incurred Date (YYYYMM)]/100,0)=A50)*tbl_Exh3.110[Non-EHB Allowed Claims])</f>
        <v>3648178.9429051429</v>
      </c>
      <c r="I50" s="351" cm="1">
        <f t="array" aca="1" ref="I50" ca="1">SUMPRODUCT((ROUNDDOWN(tbl_Exh3.110[Incurred Date (YYYYMM)]/100,0)=A50)*tbl_Exh3.110[Predictive Ultimate Allowed EHB Claims])</f>
        <v>361119715.34760916</v>
      </c>
      <c r="J50" s="416">
        <f ca="1">tbl_Exh3.211[[#This Row],[Total Predictive Ultimate Allowed EHB Claims]]/tbl_Exh3.211[[#This Row],[Total Member Months]]</f>
        <v>300.93309612300766</v>
      </c>
      <c r="X50" s="253">
        <v>2022</v>
      </c>
      <c r="Y50" s="274">
        <f>AVERAGE(Y11:Y22)-1</f>
        <v>0</v>
      </c>
      <c r="Z50" s="274">
        <f ca="1">AVERAGE(Z11:Z22)</f>
        <v>-1.9565947884538841E-3</v>
      </c>
      <c r="AA50" s="274">
        <f ca="1">AVERAGE(AA11:AA22)-1</f>
        <v>-1.9565947884540025E-3</v>
      </c>
      <c r="AB50" s="273"/>
      <c r="AC50" s="273"/>
      <c r="AD50" s="273"/>
    </row>
    <row r="51" spans="1:30" s="82" customFormat="1" ht="15.75" x14ac:dyDescent="0.25">
      <c r="A51" s="420">
        <v>2023</v>
      </c>
      <c r="B51" s="266" cm="1">
        <f t="array" ref="B51">SUMPRODUCT((ROUNDDOWN(tbl_Exh3.110[Incurred Date (YYYYMM)]/100,0)=$A51)*tbl_Exh3.110[Member Months])</f>
        <v>1200000</v>
      </c>
      <c r="C51" s="351" cm="1">
        <f t="array" aca="1" ref="C51" ca="1">SUMPRODUCT((ROUNDDOWN(tbl_Exh3.110[Incurred Date (YYYYMM)]/100,0)=A51)*tbl_Exh3.110[Allowed Claims 
(as of 3/31/2025)])</f>
        <v>402196110.37587816</v>
      </c>
      <c r="D51" s="321"/>
      <c r="E51" s="351" cm="1">
        <f t="array" aca="1" ref="E51" ca="1">SUMPRODUCT((ROUNDDOWN(tbl_Exh3.110[Incurred Date (YYYYMM)]/100,0)=A51)*tbl_Exh3.110[Ultimate Allowed Claims])</f>
        <v>408320924.23947012</v>
      </c>
      <c r="F51" s="351" cm="1">
        <f t="array" ref="F51">SUMPRODUCT((ROUNDDOWN(tbl_Exh3.110[Incurred Date (YYYYMM)]/100,0)=A51)*tbl_Exh3.110[One-Time Adjustment for High Claims (Non-Predictive Claims)])</f>
        <v>100000</v>
      </c>
      <c r="G51" s="351" cm="1">
        <f t="array" ref="G51">SUMPRODUCT((ROUNDDOWN(tbl_Exh3.110[Incurred Date (YYYYMM)]/100,0)=A51)*tbl_Exh3.110[One-Time Adjustment for HCRP Receipts])</f>
        <v>1500000</v>
      </c>
      <c r="H51" s="351" cm="1">
        <f t="array" aca="1" ref="H51" ca="1">SUMPRODUCT((ROUNDDOWN(tbl_Exh3.110[Incurred Date (YYYYMM)]/100,0)=A51)*tbl_Exh3.110[Non-EHB Allowed Claims])</f>
        <v>4083209.2423947016</v>
      </c>
      <c r="I51" s="351" cm="1">
        <f t="array" aca="1" ref="I51" ca="1">SUMPRODUCT((ROUNDDOWN(tbl_Exh3.110[Incurred Date (YYYYMM)]/100,0)=A51)*tbl_Exh3.110[Predictive Ultimate Allowed EHB Claims])</f>
        <v>402637714.9970755</v>
      </c>
      <c r="J51" s="417">
        <f ca="1">tbl_Exh3.211[[#This Row],[Total Predictive Ultimate Allowed EHB Claims]]/tbl_Exh3.211[[#This Row],[Total Member Months]]</f>
        <v>335.53142916422956</v>
      </c>
      <c r="X51" s="253">
        <v>2023</v>
      </c>
      <c r="Y51" s="274">
        <f>AVERAGE(Y23:Y34)-1</f>
        <v>8.5000000000000187E-2</v>
      </c>
      <c r="Z51" s="274">
        <f ca="1">AVERAGE(Z23:Z34)</f>
        <v>-2.5965925081859673E-3</v>
      </c>
      <c r="AA51" s="274">
        <f ca="1">AVERAGE(AA23:AA34)-1</f>
        <v>8.2403407491814074E-2</v>
      </c>
      <c r="AB51" s="273"/>
      <c r="AC51" s="273"/>
      <c r="AD51" s="273"/>
    </row>
    <row r="52" spans="1:30" s="82" customFormat="1" ht="15.75" x14ac:dyDescent="0.25">
      <c r="A52" s="421">
        <v>2024</v>
      </c>
      <c r="B52" s="267" cm="1">
        <f t="array" ref="B52">SUMPRODUCT((ROUNDDOWN(tbl_Exh3.110[Incurred Date (YYYYMM)]/100,0)=$A52)*tbl_Exh3.110[Member Months])</f>
        <v>1200000</v>
      </c>
      <c r="C52" s="419" cm="1">
        <f t="array" aca="1" ref="C52" ca="1">SUMPRODUCT((ROUNDDOWN(tbl_Exh3.110[Incurred Date (YYYYMM)]/100,0)=A52)*tbl_Exh3.110[Allowed Claims 
(as of 3/31/2025)])</f>
        <v>446939182.01013827</v>
      </c>
      <c r="D52" s="322"/>
      <c r="E52" s="419" cm="1">
        <f t="array" aca="1" ref="E52" ca="1">SUMPRODUCT((ROUNDDOWN(tbl_Exh3.110[Incurred Date (YYYYMM)]/100,0)=A52)*tbl_Exh3.110[Ultimate Allowed Claims])</f>
        <v>453745362.44684082</v>
      </c>
      <c r="F52" s="419" cm="1">
        <f t="array" ref="F52">SUMPRODUCT((ROUNDDOWN(tbl_Exh3.110[Incurred Date (YYYYMM)]/100,0)=A52)*tbl_Exh3.110[One-Time Adjustment for High Claims (Non-Predictive Claims)])</f>
        <v>0</v>
      </c>
      <c r="G52" s="419" cm="1">
        <f t="array" ref="G52">SUMPRODUCT((ROUNDDOWN(tbl_Exh3.110[Incurred Date (YYYYMM)]/100,0)=A52)*tbl_Exh3.110[One-Time Adjustment for HCRP Receipts])</f>
        <v>0</v>
      </c>
      <c r="H52" s="419" cm="1">
        <f t="array" aca="1" ref="H52" ca="1">SUMPRODUCT((ROUNDDOWN(tbl_Exh3.110[Incurred Date (YYYYMM)]/100,0)=A52)*tbl_Exh3.110[Non-EHB Allowed Claims])</f>
        <v>4537453.6244684085</v>
      </c>
      <c r="I52" s="419" cm="1">
        <f t="array" aca="1" ref="I52" ca="1">SUMPRODUCT((ROUNDDOWN(tbl_Exh3.110[Incurred Date (YYYYMM)]/100,0)=A52)*tbl_Exh3.110[Predictive Ultimate Allowed EHB Claims])</f>
        <v>449207908.8223725</v>
      </c>
      <c r="J52" s="418">
        <f ca="1">tbl_Exh3.211[[#This Row],[Total Predictive Ultimate Allowed EHB Claims]]/tbl_Exh3.211[[#This Row],[Total Member Months]]</f>
        <v>374.33992401864373</v>
      </c>
      <c r="X52" s="253">
        <v>2021</v>
      </c>
      <c r="Y52" s="274" cm="1">
        <f t="array" ref="Y52">AVERAGE(Y35:Y46^0.5)-1</f>
        <v>8.5000000000000187E-2</v>
      </c>
      <c r="Z52" s="274">
        <f ca="1">AVERAGE(Z35:Z46)</f>
        <v>-2.5552747337700896E-3</v>
      </c>
      <c r="AA52" s="274" cm="1">
        <f t="array" aca="1" ref="AA52" ca="1">AVERAGE(AA35:AA46^0.5)-1</f>
        <v>8.3821549860664257E-2</v>
      </c>
      <c r="AB52" s="273"/>
      <c r="AC52" s="273"/>
      <c r="AD52" s="273"/>
    </row>
    <row r="53" spans="1:30" s="82" customFormat="1" ht="15.75" x14ac:dyDescent="0.25">
      <c r="B53" s="265"/>
      <c r="C53" s="265"/>
      <c r="J53"/>
      <c r="X53" s="229"/>
      <c r="Y53" s="229"/>
      <c r="Z53" s="229"/>
      <c r="AA53" s="229"/>
      <c r="AB53" s="273"/>
      <c r="AC53" s="273"/>
      <c r="AD53" s="273"/>
    </row>
    <row r="54" spans="1:30" s="82" customFormat="1" ht="21.75" thickBot="1" x14ac:dyDescent="0.4">
      <c r="A54" s="131" t="s">
        <v>61</v>
      </c>
      <c r="B54" s="131"/>
      <c r="C54" s="131"/>
      <c r="D54" s="132"/>
      <c r="E54" s="132"/>
      <c r="F54" s="132"/>
      <c r="G54" s="132"/>
      <c r="H54" s="132"/>
      <c r="I54" s="132"/>
      <c r="J54" s="132"/>
      <c r="K54" s="132"/>
      <c r="L54" s="132"/>
      <c r="M54" s="132"/>
      <c r="N54" s="132"/>
      <c r="O54" s="132"/>
      <c r="P54" s="132"/>
      <c r="X54" s="251"/>
      <c r="Y54" s="251"/>
      <c r="Z54" s="251"/>
      <c r="AA54" s="229"/>
      <c r="AB54" s="229"/>
      <c r="AC54" s="229"/>
      <c r="AD54" s="229"/>
    </row>
    <row r="55" spans="1:30" s="82" customFormat="1" ht="16.5" thickTop="1" x14ac:dyDescent="0.25">
      <c r="X55" s="229"/>
      <c r="Y55" s="229"/>
      <c r="Z55" s="229"/>
      <c r="AA55" s="273"/>
      <c r="AB55" s="229"/>
      <c r="AC55" s="229"/>
      <c r="AD55" s="229"/>
    </row>
    <row r="56" spans="1:30" s="82" customFormat="1" ht="15.75" x14ac:dyDescent="0.25">
      <c r="A56" s="605"/>
      <c r="B56" s="605"/>
      <c r="C56" s="605"/>
      <c r="D56" s="605"/>
      <c r="E56" s="605"/>
      <c r="F56" s="605"/>
      <c r="G56" s="605"/>
      <c r="H56" s="605"/>
      <c r="I56" s="605"/>
      <c r="J56" s="605"/>
      <c r="K56" s="605"/>
      <c r="L56" s="605"/>
      <c r="M56" s="605"/>
      <c r="N56" s="605"/>
      <c r="O56" s="605"/>
      <c r="P56" s="605"/>
      <c r="AA56"/>
    </row>
    <row r="57" spans="1:30" s="82" customFormat="1" ht="15.75" x14ac:dyDescent="0.25">
      <c r="A57" s="605"/>
      <c r="B57" s="605"/>
      <c r="C57" s="605"/>
      <c r="D57" s="605"/>
      <c r="E57" s="605"/>
      <c r="F57" s="605"/>
      <c r="G57" s="605"/>
      <c r="H57" s="605"/>
      <c r="I57" s="605"/>
      <c r="J57" s="605"/>
      <c r="K57" s="605"/>
      <c r="L57" s="605"/>
      <c r="M57" s="605"/>
      <c r="N57" s="605"/>
      <c r="O57" s="605"/>
      <c r="P57" s="605"/>
      <c r="AA57"/>
    </row>
    <row r="58" spans="1:30" s="82" customFormat="1" ht="15.75" x14ac:dyDescent="0.25">
      <c r="A58" s="605"/>
      <c r="B58" s="605"/>
      <c r="C58" s="605"/>
      <c r="D58" s="605"/>
      <c r="E58" s="605"/>
      <c r="F58" s="605"/>
      <c r="G58" s="605"/>
      <c r="H58" s="605"/>
      <c r="I58" s="605"/>
      <c r="J58" s="605"/>
      <c r="K58" s="605"/>
      <c r="L58" s="605"/>
      <c r="M58" s="605"/>
      <c r="N58" s="605"/>
      <c r="O58" s="605"/>
      <c r="P58" s="605"/>
      <c r="AA58"/>
    </row>
    <row r="59" spans="1:30" s="82" customFormat="1" ht="15.75" x14ac:dyDescent="0.25">
      <c r="A59" s="605"/>
      <c r="B59" s="605"/>
      <c r="C59" s="605"/>
      <c r="D59" s="605"/>
      <c r="E59" s="605"/>
      <c r="F59" s="605"/>
      <c r="G59" s="605"/>
      <c r="H59" s="605"/>
      <c r="I59" s="605"/>
      <c r="J59" s="605"/>
      <c r="K59" s="605"/>
      <c r="L59" s="605"/>
      <c r="M59" s="605"/>
      <c r="N59" s="605"/>
      <c r="O59" s="605"/>
      <c r="P59" s="605"/>
      <c r="AA59"/>
    </row>
    <row r="60" spans="1:30" s="82" customFormat="1" ht="15.75" x14ac:dyDescent="0.25">
      <c r="A60" s="605"/>
      <c r="B60" s="605"/>
      <c r="C60" s="605"/>
      <c r="D60" s="605"/>
      <c r="E60" s="605"/>
      <c r="F60" s="605"/>
      <c r="G60" s="605"/>
      <c r="H60" s="605"/>
      <c r="I60" s="605"/>
      <c r="J60" s="605"/>
      <c r="K60" s="605"/>
      <c r="L60" s="605"/>
      <c r="M60" s="605"/>
      <c r="N60" s="605"/>
      <c r="O60" s="605"/>
      <c r="P60" s="605"/>
      <c r="AA60"/>
    </row>
    <row r="61" spans="1:30" s="82" customFormat="1" ht="15.75" x14ac:dyDescent="0.25">
      <c r="A61" s="605"/>
      <c r="B61" s="605"/>
      <c r="C61" s="605"/>
      <c r="D61" s="605"/>
      <c r="E61" s="605"/>
      <c r="F61" s="605"/>
      <c r="G61" s="605"/>
      <c r="H61" s="605"/>
      <c r="I61" s="605"/>
      <c r="J61" s="605"/>
      <c r="K61" s="605"/>
      <c r="L61" s="605"/>
      <c r="M61" s="605"/>
      <c r="N61" s="605"/>
      <c r="O61" s="605"/>
      <c r="P61" s="605"/>
      <c r="AA61"/>
    </row>
    <row r="62" spans="1:30" s="82" customFormat="1" ht="15.75" x14ac:dyDescent="0.25">
      <c r="A62" s="605"/>
      <c r="B62" s="605"/>
      <c r="C62" s="605"/>
      <c r="D62" s="605"/>
      <c r="E62" s="605"/>
      <c r="F62" s="605"/>
      <c r="G62" s="605"/>
      <c r="H62" s="605"/>
      <c r="I62" s="605"/>
      <c r="J62" s="605"/>
      <c r="K62" s="605"/>
      <c r="L62" s="605"/>
      <c r="M62" s="605"/>
      <c r="N62" s="605"/>
      <c r="O62" s="605"/>
      <c r="P62" s="605"/>
      <c r="AA62"/>
    </row>
    <row r="63" spans="1:30" s="82" customFormat="1" ht="15.75" x14ac:dyDescent="0.25">
      <c r="A63" s="605"/>
      <c r="B63" s="605"/>
      <c r="C63" s="605"/>
      <c r="D63" s="605"/>
      <c r="E63" s="605"/>
      <c r="F63" s="605"/>
      <c r="G63" s="605"/>
      <c r="H63" s="605"/>
      <c r="I63" s="605"/>
      <c r="J63" s="605"/>
      <c r="K63" s="605"/>
      <c r="L63" s="605"/>
      <c r="M63" s="605"/>
      <c r="N63" s="605"/>
      <c r="O63" s="605"/>
      <c r="P63" s="605"/>
      <c r="AA63"/>
    </row>
    <row r="64" spans="1:30" s="82" customFormat="1" ht="15.75" x14ac:dyDescent="0.25">
      <c r="A64" s="605"/>
      <c r="B64" s="605"/>
      <c r="C64" s="605"/>
      <c r="D64" s="605"/>
      <c r="E64" s="605"/>
      <c r="F64" s="605"/>
      <c r="G64" s="605"/>
      <c r="H64" s="605"/>
      <c r="I64" s="605"/>
      <c r="J64" s="605"/>
      <c r="K64" s="605"/>
      <c r="L64" s="605"/>
      <c r="M64" s="605"/>
      <c r="N64" s="605"/>
      <c r="O64" s="605"/>
      <c r="P64" s="605"/>
      <c r="AA64"/>
    </row>
    <row r="65" spans="1:27" s="82" customFormat="1" ht="15.75" x14ac:dyDescent="0.25">
      <c r="A65" s="605"/>
      <c r="B65" s="605"/>
      <c r="C65" s="605"/>
      <c r="D65" s="605"/>
      <c r="E65" s="605"/>
      <c r="F65" s="605"/>
      <c r="G65" s="605"/>
      <c r="H65" s="605"/>
      <c r="I65" s="605"/>
      <c r="J65" s="605"/>
      <c r="K65" s="605"/>
      <c r="L65" s="605"/>
      <c r="M65" s="605"/>
      <c r="N65" s="605"/>
      <c r="O65" s="605"/>
      <c r="P65" s="605"/>
      <c r="AA65"/>
    </row>
    <row r="66" spans="1:27" s="82" customFormat="1" ht="15.75" x14ac:dyDescent="0.25">
      <c r="AA66"/>
    </row>
    <row r="67" spans="1:27" s="82" customFormat="1" ht="15.75" x14ac:dyDescent="0.25">
      <c r="AA67"/>
    </row>
    <row r="68" spans="1:27" s="82" customFormat="1" ht="15.75" x14ac:dyDescent="0.25">
      <c r="AA68"/>
    </row>
    <row r="69" spans="1:27" s="82" customFormat="1" ht="15.75" x14ac:dyDescent="0.25">
      <c r="AA69"/>
    </row>
  </sheetData>
  <mergeCells count="14">
    <mergeCell ref="A57:P57"/>
    <mergeCell ref="C4:L4"/>
    <mergeCell ref="C5:L5"/>
    <mergeCell ref="C6:L6"/>
    <mergeCell ref="C7:L7"/>
    <mergeCell ref="A56:P56"/>
    <mergeCell ref="A64:P64"/>
    <mergeCell ref="A65:P65"/>
    <mergeCell ref="A58:P58"/>
    <mergeCell ref="A59:P59"/>
    <mergeCell ref="A60:P60"/>
    <mergeCell ref="A61:P61"/>
    <mergeCell ref="A62:P62"/>
    <mergeCell ref="A63:P63"/>
  </mergeCells>
  <printOptions horizontalCentered="1"/>
  <pageMargins left="0.25" right="0.25" top="0.75" bottom="0.75" header="0.25" footer="0.25"/>
  <pageSetup scale="34" orientation="landscape" horizontalDpi="1200" verticalDpi="1200" r:id="rId1"/>
  <headerFooter>
    <oddFooter>&amp;L2026 IND &amp;&amp; SG ACA MEDICAL RATE FILINGS -- COMMON EXHIBITS&amp;R04/07/2025</oddFooter>
  </headerFooter>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6F26E-08CA-4349-9FAC-31EC20EEE48A}">
  <sheetPr>
    <tabColor theme="9" tint="-0.499984740745262"/>
    <pageSetUpPr fitToPage="1"/>
  </sheetPr>
  <dimension ref="A1:I34"/>
  <sheetViews>
    <sheetView showGridLines="0" zoomScale="70" zoomScaleNormal="70" workbookViewId="0"/>
  </sheetViews>
  <sheetFormatPr defaultRowHeight="15" x14ac:dyDescent="0.25"/>
  <cols>
    <col min="1" max="1" width="38.7109375" bestFit="1" customWidth="1"/>
    <col min="2" max="7" width="9.28515625" customWidth="1"/>
    <col min="8" max="9" width="10.5703125" customWidth="1"/>
    <col min="10" max="10" width="7.140625" customWidth="1"/>
    <col min="11" max="11" width="114" customWidth="1"/>
  </cols>
  <sheetData>
    <row r="1" spans="1:9" ht="26.25" x14ac:dyDescent="0.4">
      <c r="A1" s="270" t="s">
        <v>183</v>
      </c>
    </row>
    <row r="2" spans="1:9" x14ac:dyDescent="0.25">
      <c r="A2" s="259"/>
    </row>
    <row r="3" spans="1:9" ht="18.75" x14ac:dyDescent="0.3">
      <c r="A3" s="98" t="s">
        <v>38</v>
      </c>
      <c r="B3" s="621" t="str">
        <f>CarrierName</f>
        <v>ABC Company</v>
      </c>
      <c r="C3" s="621"/>
      <c r="D3" s="622"/>
      <c r="E3" s="622"/>
      <c r="F3" s="622"/>
      <c r="G3" s="622"/>
      <c r="H3" s="622"/>
      <c r="I3" s="622"/>
    </row>
    <row r="4" spans="1:9" ht="18.75" x14ac:dyDescent="0.3">
      <c r="A4" s="98" t="s">
        <v>0</v>
      </c>
      <c r="B4" s="621" t="str">
        <f>Market</f>
        <v>Individual</v>
      </c>
      <c r="C4" s="621"/>
      <c r="D4" s="622"/>
      <c r="E4" s="622"/>
      <c r="F4" s="622"/>
      <c r="G4" s="622"/>
      <c r="H4" s="622"/>
      <c r="I4" s="622"/>
    </row>
    <row r="5" spans="1:9" ht="18.75" x14ac:dyDescent="0.3">
      <c r="A5" s="98" t="s">
        <v>40</v>
      </c>
      <c r="B5" s="621">
        <f>PlanYear</f>
        <v>2026</v>
      </c>
      <c r="C5" s="621"/>
      <c r="D5" s="622"/>
      <c r="E5" s="622"/>
      <c r="F5" s="622"/>
      <c r="G5" s="622"/>
      <c r="H5" s="622"/>
      <c r="I5" s="622"/>
    </row>
    <row r="6" spans="1:9" ht="18.75" x14ac:dyDescent="0.3">
      <c r="A6" s="98" t="s">
        <v>41</v>
      </c>
      <c r="B6" s="621">
        <f>ExperYear</f>
        <v>2024</v>
      </c>
      <c r="C6" s="621"/>
      <c r="D6" s="622"/>
      <c r="E6" s="622"/>
      <c r="F6" s="622"/>
      <c r="G6" s="622"/>
      <c r="H6" s="622"/>
      <c r="I6" s="622"/>
    </row>
    <row r="7" spans="1:9" x14ac:dyDescent="0.25">
      <c r="A7" s="259"/>
    </row>
    <row r="8" spans="1:9" x14ac:dyDescent="0.25">
      <c r="A8" s="8"/>
    </row>
    <row r="9" spans="1:9" ht="49.5" customHeight="1" x14ac:dyDescent="0.35">
      <c r="A9" s="269" t="s">
        <v>184</v>
      </c>
      <c r="B9" s="423" t="s">
        <v>185</v>
      </c>
      <c r="C9" s="423"/>
      <c r="D9" s="423" t="s">
        <v>186</v>
      </c>
      <c r="E9" s="424"/>
      <c r="F9" s="424"/>
      <c r="G9" s="424"/>
      <c r="H9" s="423" t="s">
        <v>187</v>
      </c>
      <c r="I9" s="424"/>
    </row>
    <row r="10" spans="1:9" ht="31.5" x14ac:dyDescent="0.25">
      <c r="A10" s="456" t="s">
        <v>188</v>
      </c>
      <c r="B10" s="457" t="str">
        <f>ExperYear-3&amp;" to
"&amp;ExperYear-1</f>
        <v>2021 to
2023</v>
      </c>
      <c r="C10" s="457" t="str">
        <f>ExperYear-2&amp;" to
"&amp;ExperYear</f>
        <v>2022 to
2024</v>
      </c>
      <c r="D10" s="457" t="str">
        <f>ExperYear-3&amp;" to
"&amp;ExperYear-1</f>
        <v>2021 to
2023</v>
      </c>
      <c r="E10" s="457" t="str">
        <f>ExperYear-2&amp;" to
"&amp;ExperYear</f>
        <v>2022 to
2024</v>
      </c>
      <c r="F10" s="457" t="str">
        <f>ExperYear-1&amp;" to
"&amp;ExperYear+1</f>
        <v>2023 to
2025</v>
      </c>
      <c r="G10" s="457" t="str">
        <f>ExperYear&amp;" to
"&amp;ExperYear+2</f>
        <v>2024 to
2026</v>
      </c>
      <c r="H10" s="423" t="str">
        <f>B10</f>
        <v>2021 to
2023</v>
      </c>
      <c r="I10" s="423" t="str">
        <f>C10</f>
        <v>2022 to
2024</v>
      </c>
    </row>
    <row r="11" spans="1:9" s="271" customFormat="1" ht="15.75" x14ac:dyDescent="0.25">
      <c r="A11" s="460"/>
      <c r="B11" s="458" t="str">
        <f t="shared" ref="B11:I11" si="0">"("&amp;COLUMN()&amp;")"</f>
        <v>(2)</v>
      </c>
      <c r="C11" s="459" t="str">
        <f t="shared" si="0"/>
        <v>(3)</v>
      </c>
      <c r="D11" s="460" t="str">
        <f t="shared" si="0"/>
        <v>(4)</v>
      </c>
      <c r="E11" s="460" t="str">
        <f t="shared" si="0"/>
        <v>(5)</v>
      </c>
      <c r="F11" s="460" t="str">
        <f t="shared" si="0"/>
        <v>(6)</v>
      </c>
      <c r="G11" s="460" t="str">
        <f t="shared" si="0"/>
        <v>(7)</v>
      </c>
      <c r="H11" s="458" t="str">
        <f t="shared" si="0"/>
        <v>(8)</v>
      </c>
      <c r="I11" s="459" t="str">
        <f t="shared" si="0"/>
        <v>(9)</v>
      </c>
    </row>
    <row r="12" spans="1:9" s="271" customFormat="1" ht="15.75" x14ac:dyDescent="0.25">
      <c r="A12" s="463"/>
      <c r="B12" s="461"/>
      <c r="C12" s="462"/>
      <c r="D12" s="463"/>
      <c r="E12" s="463"/>
      <c r="F12" s="463"/>
      <c r="G12" s="463"/>
      <c r="H12" s="461" t="str">
        <f>B11&amp;" vs. "&amp;D11</f>
        <v>(2) vs. (4)</v>
      </c>
      <c r="I12" s="462" t="str">
        <f>C11&amp;" vs. "&amp;E11</f>
        <v>(3) vs. (5)</v>
      </c>
    </row>
    <row r="13" spans="1:9" ht="15.75" x14ac:dyDescent="0.25">
      <c r="A13" s="471" t="s">
        <v>189</v>
      </c>
      <c r="B13" s="464"/>
      <c r="C13" s="77"/>
      <c r="D13" s="465"/>
      <c r="E13" s="303"/>
      <c r="F13" s="303"/>
      <c r="G13" s="303"/>
      <c r="H13" s="465"/>
      <c r="I13" s="466"/>
    </row>
    <row r="14" spans="1:9" ht="15.75" x14ac:dyDescent="0.25">
      <c r="A14" s="587" t="s">
        <v>190</v>
      </c>
      <c r="B14" s="588">
        <v>1</v>
      </c>
      <c r="C14" s="589">
        <v>1</v>
      </c>
      <c r="D14" s="588">
        <v>1</v>
      </c>
      <c r="E14" s="589">
        <v>1</v>
      </c>
      <c r="F14" s="589">
        <v>1</v>
      </c>
      <c r="G14" s="589">
        <v>1</v>
      </c>
      <c r="H14" s="578">
        <f t="shared" ref="H14:H15" si="1">B14/D14</f>
        <v>1</v>
      </c>
      <c r="I14" s="580">
        <f t="shared" ref="I14:I15" si="2">C14/E14</f>
        <v>1</v>
      </c>
    </row>
    <row r="15" spans="1:9" ht="15.75" x14ac:dyDescent="0.25">
      <c r="A15" s="473" t="s">
        <v>191</v>
      </c>
      <c r="B15" s="469">
        <v>1</v>
      </c>
      <c r="C15" s="470">
        <v>1</v>
      </c>
      <c r="D15" s="469">
        <v>1</v>
      </c>
      <c r="E15" s="470">
        <v>1</v>
      </c>
      <c r="F15" s="470">
        <v>1</v>
      </c>
      <c r="G15" s="470">
        <v>1</v>
      </c>
      <c r="H15" s="452">
        <f t="shared" si="1"/>
        <v>1</v>
      </c>
      <c r="I15" s="454">
        <f t="shared" si="2"/>
        <v>1</v>
      </c>
    </row>
    <row r="16" spans="1:9" ht="15.75" x14ac:dyDescent="0.25">
      <c r="A16" s="472" t="s">
        <v>156</v>
      </c>
      <c r="B16" s="467">
        <v>1</v>
      </c>
      <c r="C16" s="468">
        <v>1</v>
      </c>
      <c r="D16" s="467">
        <v>1</v>
      </c>
      <c r="E16" s="468">
        <v>1</v>
      </c>
      <c r="F16" s="468">
        <v>1</v>
      </c>
      <c r="G16" s="468">
        <v>1</v>
      </c>
      <c r="H16" s="429">
        <f>B16/D16</f>
        <v>1</v>
      </c>
      <c r="I16" s="431">
        <f>C16/E16</f>
        <v>1</v>
      </c>
    </row>
    <row r="17" spans="1:9" ht="15.75" x14ac:dyDescent="0.25">
      <c r="A17" s="472" t="s">
        <v>157</v>
      </c>
      <c r="B17" s="467">
        <v>1</v>
      </c>
      <c r="C17" s="468">
        <v>1</v>
      </c>
      <c r="D17" s="467">
        <v>1</v>
      </c>
      <c r="E17" s="468">
        <v>1</v>
      </c>
      <c r="F17" s="468">
        <v>1</v>
      </c>
      <c r="G17" s="468">
        <v>1</v>
      </c>
      <c r="H17" s="429">
        <f t="shared" ref="H17:I19" si="3">B17/D17</f>
        <v>1</v>
      </c>
      <c r="I17" s="431">
        <f t="shared" si="3"/>
        <v>1</v>
      </c>
    </row>
    <row r="18" spans="1:9" ht="15.75" x14ac:dyDescent="0.25">
      <c r="A18" s="472" t="s">
        <v>158</v>
      </c>
      <c r="B18" s="467">
        <v>1</v>
      </c>
      <c r="C18" s="468">
        <v>1</v>
      </c>
      <c r="D18" s="467">
        <v>1</v>
      </c>
      <c r="E18" s="468">
        <v>1</v>
      </c>
      <c r="F18" s="468">
        <v>1</v>
      </c>
      <c r="G18" s="468">
        <v>1</v>
      </c>
      <c r="H18" s="429">
        <f t="shared" si="3"/>
        <v>1</v>
      </c>
      <c r="I18" s="431">
        <f t="shared" si="3"/>
        <v>1</v>
      </c>
    </row>
    <row r="19" spans="1:9" ht="15.75" x14ac:dyDescent="0.25">
      <c r="A19" s="473" t="s">
        <v>192</v>
      </c>
      <c r="B19" s="469">
        <v>1</v>
      </c>
      <c r="C19" s="470">
        <v>1</v>
      </c>
      <c r="D19" s="469">
        <v>1</v>
      </c>
      <c r="E19" s="470">
        <v>1</v>
      </c>
      <c r="F19" s="470">
        <v>1</v>
      </c>
      <c r="G19" s="470">
        <v>1</v>
      </c>
      <c r="H19" s="452">
        <f t="shared" si="3"/>
        <v>1</v>
      </c>
      <c r="I19" s="454">
        <f t="shared" si="3"/>
        <v>1</v>
      </c>
    </row>
    <row r="21" spans="1:9" ht="17.25" x14ac:dyDescent="0.25">
      <c r="A21" s="57" t="s">
        <v>193</v>
      </c>
      <c r="B21" s="60"/>
      <c r="C21" s="60"/>
    </row>
    <row r="23" spans="1:9" ht="21" x14ac:dyDescent="0.35">
      <c r="A23" s="131" t="s">
        <v>61</v>
      </c>
      <c r="B23" s="131"/>
      <c r="C23" s="131"/>
      <c r="D23" s="134"/>
      <c r="E23" s="131"/>
    </row>
    <row r="24" spans="1:9" ht="15.75" x14ac:dyDescent="0.25">
      <c r="A24" s="82"/>
      <c r="B24" s="82"/>
      <c r="C24" s="82"/>
      <c r="D24" s="82"/>
      <c r="E24" s="82"/>
      <c r="F24" s="82"/>
      <c r="G24" s="82"/>
      <c r="H24" s="82"/>
      <c r="I24" s="82"/>
    </row>
    <row r="25" spans="1:9" ht="15.75" x14ac:dyDescent="0.25">
      <c r="A25" s="605"/>
      <c r="B25" s="606"/>
      <c r="C25" s="606"/>
      <c r="D25" s="606"/>
      <c r="E25" s="606"/>
      <c r="F25" s="606"/>
      <c r="G25" s="606"/>
      <c r="H25" s="606"/>
      <c r="I25" s="606"/>
    </row>
    <row r="26" spans="1:9" ht="15.75" x14ac:dyDescent="0.25">
      <c r="A26" s="605"/>
      <c r="B26" s="606"/>
      <c r="C26" s="606"/>
      <c r="D26" s="606"/>
      <c r="E26" s="606"/>
      <c r="F26" s="606"/>
      <c r="G26" s="606"/>
      <c r="H26" s="606"/>
      <c r="I26" s="606"/>
    </row>
    <row r="27" spans="1:9" ht="15.75" x14ac:dyDescent="0.25">
      <c r="A27" s="605"/>
      <c r="B27" s="606"/>
      <c r="C27" s="606"/>
      <c r="D27" s="606"/>
      <c r="E27" s="606"/>
      <c r="F27" s="606"/>
      <c r="G27" s="606"/>
      <c r="H27" s="606"/>
      <c r="I27" s="606"/>
    </row>
    <row r="28" spans="1:9" ht="15.75" x14ac:dyDescent="0.25">
      <c r="A28" s="605"/>
      <c r="B28" s="606"/>
      <c r="C28" s="606"/>
      <c r="D28" s="606"/>
      <c r="E28" s="606"/>
      <c r="F28" s="606"/>
      <c r="G28" s="606"/>
      <c r="H28" s="606"/>
      <c r="I28" s="606"/>
    </row>
    <row r="29" spans="1:9" ht="15.75" x14ac:dyDescent="0.25">
      <c r="A29" s="605"/>
      <c r="B29" s="606"/>
      <c r="C29" s="606"/>
      <c r="D29" s="606"/>
      <c r="E29" s="606"/>
      <c r="F29" s="606"/>
      <c r="G29" s="606"/>
      <c r="H29" s="606"/>
      <c r="I29" s="606"/>
    </row>
    <row r="30" spans="1:9" ht="15.75" x14ac:dyDescent="0.25">
      <c r="A30" s="605"/>
      <c r="B30" s="606"/>
      <c r="C30" s="606"/>
      <c r="D30" s="606"/>
      <c r="E30" s="606"/>
      <c r="F30" s="606"/>
      <c r="G30" s="606"/>
      <c r="H30" s="606"/>
      <c r="I30" s="606"/>
    </row>
    <row r="31" spans="1:9" ht="15.75" x14ac:dyDescent="0.25">
      <c r="A31" s="605"/>
      <c r="B31" s="606"/>
      <c r="C31" s="606"/>
      <c r="D31" s="606"/>
      <c r="E31" s="606"/>
      <c r="F31" s="606"/>
      <c r="G31" s="606"/>
      <c r="H31" s="606"/>
      <c r="I31" s="606"/>
    </row>
    <row r="32" spans="1:9" ht="15.75" x14ac:dyDescent="0.25">
      <c r="A32" s="605"/>
      <c r="B32" s="606"/>
      <c r="C32" s="606"/>
      <c r="D32" s="606"/>
      <c r="E32" s="606"/>
      <c r="F32" s="606"/>
      <c r="G32" s="606"/>
      <c r="H32" s="606"/>
      <c r="I32" s="606"/>
    </row>
    <row r="33" spans="1:9" ht="15.75" x14ac:dyDescent="0.25">
      <c r="A33" s="605"/>
      <c r="B33" s="606"/>
      <c r="C33" s="606"/>
      <c r="D33" s="606"/>
      <c r="E33" s="606"/>
      <c r="F33" s="606"/>
      <c r="G33" s="606"/>
      <c r="H33" s="606"/>
      <c r="I33" s="606"/>
    </row>
    <row r="34" spans="1:9" ht="15.75" x14ac:dyDescent="0.25">
      <c r="A34" s="605"/>
      <c r="B34" s="606"/>
      <c r="C34" s="606"/>
      <c r="D34" s="606"/>
      <c r="E34" s="606"/>
      <c r="F34" s="606"/>
      <c r="G34" s="606"/>
      <c r="H34" s="606"/>
      <c r="I34" s="606"/>
    </row>
  </sheetData>
  <mergeCells count="14">
    <mergeCell ref="B3:I3"/>
    <mergeCell ref="B4:I4"/>
    <mergeCell ref="B5:I5"/>
    <mergeCell ref="B6:I6"/>
    <mergeCell ref="A29:I29"/>
    <mergeCell ref="A32:I32"/>
    <mergeCell ref="A33:I33"/>
    <mergeCell ref="A34:I34"/>
    <mergeCell ref="A25:I25"/>
    <mergeCell ref="A26:I26"/>
    <mergeCell ref="A27:I27"/>
    <mergeCell ref="A28:I28"/>
    <mergeCell ref="A30:I30"/>
    <mergeCell ref="A31:I31"/>
  </mergeCells>
  <printOptions horizontalCentered="1"/>
  <pageMargins left="0.25" right="0.25" top="0.75" bottom="0.75" header="0.25" footer="0.25"/>
  <pageSetup scale="86" orientation="landscape" horizontalDpi="1200" verticalDpi="1200" r:id="rId1"/>
  <headerFooter>
    <oddFooter>&amp;L2026 IND &amp;&amp; SG ACA MEDICAL RATE FILINGS -- COMMON EXHIBITS&amp;R04/07/2025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20F74-F7EC-4921-BE23-955802816BCD}">
  <sheetPr>
    <tabColor theme="9" tint="-0.499984740745262"/>
    <pageSetUpPr fitToPage="1"/>
  </sheetPr>
  <dimension ref="A1:K23"/>
  <sheetViews>
    <sheetView showGridLines="0" zoomScale="70" zoomScaleNormal="70" workbookViewId="0">
      <pane xSplit="1" ySplit="9" topLeftCell="B10" activePane="bottomRight" state="frozen"/>
      <selection pane="topRight"/>
      <selection pane="bottomLeft"/>
      <selection pane="bottomRight" activeCell="B10" sqref="B10"/>
    </sheetView>
  </sheetViews>
  <sheetFormatPr defaultColWidth="20.42578125" defaultRowHeight="15" x14ac:dyDescent="0.25"/>
  <cols>
    <col min="1" max="1" width="32.42578125" customWidth="1"/>
    <col min="2" max="2" width="16.85546875" customWidth="1"/>
    <col min="3" max="11" width="17.28515625" customWidth="1"/>
    <col min="12" max="13" width="3.85546875" customWidth="1"/>
    <col min="14" max="14" width="120.140625" customWidth="1"/>
  </cols>
  <sheetData>
    <row r="1" spans="1:11" ht="26.25" x14ac:dyDescent="0.4">
      <c r="A1" s="270" t="s">
        <v>194</v>
      </c>
    </row>
    <row r="2" spans="1:11" x14ac:dyDescent="0.25">
      <c r="A2" s="259"/>
    </row>
    <row r="3" spans="1:11" ht="18.75" x14ac:dyDescent="0.3">
      <c r="A3" s="98" t="s">
        <v>38</v>
      </c>
      <c r="B3" s="610" t="str">
        <f>CarrierName</f>
        <v>ABC Company</v>
      </c>
      <c r="C3" s="610"/>
      <c r="D3" s="610"/>
      <c r="E3" s="610"/>
      <c r="F3" s="610"/>
      <c r="G3" s="610"/>
      <c r="H3" s="610"/>
      <c r="I3" s="610"/>
      <c r="J3" s="610"/>
      <c r="K3" s="610"/>
    </row>
    <row r="4" spans="1:11" ht="18.75" x14ac:dyDescent="0.3">
      <c r="A4" s="98" t="s">
        <v>0</v>
      </c>
      <c r="B4" s="610" t="str">
        <f>Market</f>
        <v>Individual</v>
      </c>
      <c r="C4" s="610"/>
      <c r="D4" s="610"/>
      <c r="E4" s="610"/>
      <c r="F4" s="610"/>
      <c r="G4" s="610"/>
      <c r="H4" s="610"/>
      <c r="I4" s="610"/>
      <c r="J4" s="610"/>
      <c r="K4" s="610"/>
    </row>
    <row r="5" spans="1:11" ht="18.75" x14ac:dyDescent="0.3">
      <c r="A5" s="98" t="s">
        <v>40</v>
      </c>
      <c r="B5" s="610">
        <f>PlanYear</f>
        <v>2026</v>
      </c>
      <c r="C5" s="610"/>
      <c r="D5" s="610"/>
      <c r="E5" s="610"/>
      <c r="F5" s="610"/>
      <c r="G5" s="610"/>
      <c r="H5" s="610"/>
      <c r="I5" s="610"/>
      <c r="J5" s="610"/>
      <c r="K5" s="610"/>
    </row>
    <row r="6" spans="1:11" ht="18.75" x14ac:dyDescent="0.3">
      <c r="A6" s="98" t="s">
        <v>41</v>
      </c>
      <c r="B6" s="610">
        <f>ExperYear</f>
        <v>2024</v>
      </c>
      <c r="C6" s="610"/>
      <c r="D6" s="610"/>
      <c r="E6" s="610"/>
      <c r="F6" s="610"/>
      <c r="G6" s="610"/>
      <c r="H6" s="610"/>
      <c r="I6" s="610"/>
      <c r="J6" s="610"/>
      <c r="K6" s="610"/>
    </row>
    <row r="7" spans="1:11" x14ac:dyDescent="0.25">
      <c r="A7" s="259"/>
    </row>
    <row r="8" spans="1:11" ht="21" x14ac:dyDescent="0.35">
      <c r="A8" s="269" t="s">
        <v>195</v>
      </c>
      <c r="F8" s="546" t="s">
        <v>196</v>
      </c>
      <c r="G8" s="546"/>
      <c r="H8" s="546"/>
      <c r="I8" s="550" t="s">
        <v>197</v>
      </c>
      <c r="J8" s="551"/>
      <c r="K8" s="551"/>
    </row>
    <row r="9" spans="1:11" s="370" customFormat="1" ht="69.75" customHeight="1" x14ac:dyDescent="0.25">
      <c r="A9" s="304" t="s">
        <v>198</v>
      </c>
      <c r="B9" s="304" t="s">
        <v>3</v>
      </c>
      <c r="C9" s="304" t="s">
        <v>199</v>
      </c>
      <c r="D9" s="304" t="s">
        <v>200</v>
      </c>
      <c r="E9" s="304" t="s">
        <v>201</v>
      </c>
      <c r="F9" s="304" t="s">
        <v>202</v>
      </c>
      <c r="G9" s="304" t="s">
        <v>203</v>
      </c>
      <c r="H9" s="304" t="s">
        <v>204</v>
      </c>
      <c r="I9" s="552" t="s">
        <v>205</v>
      </c>
      <c r="J9" s="553" t="s">
        <v>206</v>
      </c>
      <c r="K9" s="553" t="s">
        <v>207</v>
      </c>
    </row>
    <row r="10" spans="1:11" ht="15.75" x14ac:dyDescent="0.25">
      <c r="A10" s="547"/>
      <c r="B10" s="555"/>
      <c r="C10" s="548"/>
      <c r="D10" s="545"/>
      <c r="E10" s="545"/>
      <c r="F10" s="545"/>
      <c r="G10" s="545"/>
      <c r="H10" s="549"/>
      <c r="I10" s="272">
        <f>tbl_Exh8.1[[#This Row],[AV Pricing Value
2024]]-tbl_Exh8.1[[#This Row],[AV Metal Value
2024]]</f>
        <v>0</v>
      </c>
      <c r="J10" s="272">
        <f>tbl_Exh8.1[[#This Row],[AV Pricing Value
2025]]-tbl_Exh8.1[[#This Row],[AV Metal Value
2025]]</f>
        <v>0</v>
      </c>
      <c r="K10" s="272">
        <f>tbl_Exh8.1[[#This Row],[AV Pricing Value
2026]]-tbl_Exh8.1[[#This Row],[AV Metal Value
2026]]</f>
        <v>0</v>
      </c>
    </row>
    <row r="11" spans="1:11" ht="15.75" x14ac:dyDescent="0.25">
      <c r="A11" s="560"/>
      <c r="B11" s="561"/>
      <c r="C11" s="562"/>
      <c r="D11" s="563"/>
      <c r="E11" s="563"/>
      <c r="F11" s="563"/>
      <c r="G11" s="563"/>
      <c r="H11" s="564"/>
      <c r="I11" s="272">
        <f>tbl_Exh8.1[[#This Row],[AV Pricing Value
2024]]-tbl_Exh8.1[[#This Row],[AV Metal Value
2024]]</f>
        <v>0</v>
      </c>
      <c r="J11" s="272">
        <f>tbl_Exh8.1[[#This Row],[AV Pricing Value
2025]]-tbl_Exh8.1[[#This Row],[AV Metal Value
2025]]</f>
        <v>0</v>
      </c>
      <c r="K11" s="272">
        <f>tbl_Exh8.1[[#This Row],[AV Pricing Value
2026]]-tbl_Exh8.1[[#This Row],[AV Metal Value
2026]]</f>
        <v>0</v>
      </c>
    </row>
    <row r="12" spans="1:11" ht="15.75" x14ac:dyDescent="0.25">
      <c r="A12" s="541"/>
      <c r="B12" s="556"/>
      <c r="C12" s="542"/>
      <c r="D12" s="543"/>
      <c r="E12" s="543"/>
      <c r="F12" s="543"/>
      <c r="G12" s="543"/>
      <c r="H12" s="544"/>
      <c r="I12" s="272">
        <f>tbl_Exh8.1[[#This Row],[AV Pricing Value
2024]]-tbl_Exh8.1[[#This Row],[AV Metal Value
2024]]</f>
        <v>0</v>
      </c>
      <c r="J12" s="272">
        <f>tbl_Exh8.1[[#This Row],[AV Pricing Value
2025]]-tbl_Exh8.1[[#This Row],[AV Metal Value
2025]]</f>
        <v>0</v>
      </c>
      <c r="K12" s="272">
        <f>tbl_Exh8.1[[#This Row],[AV Pricing Value
2026]]-tbl_Exh8.1[[#This Row],[AV Metal Value
2026]]</f>
        <v>0</v>
      </c>
    </row>
    <row r="14" spans="1:11" ht="15.75" x14ac:dyDescent="0.25">
      <c r="C14" s="546" t="s">
        <v>208</v>
      </c>
      <c r="D14" s="546"/>
      <c r="E14" s="546"/>
      <c r="F14" s="546" t="s">
        <v>209</v>
      </c>
      <c r="G14" s="546"/>
      <c r="H14" s="546"/>
      <c r="I14" s="550" t="s">
        <v>197</v>
      </c>
      <c r="J14" s="551"/>
      <c r="K14" s="551"/>
    </row>
    <row r="15" spans="1:11" s="82" customFormat="1" ht="15.75" x14ac:dyDescent="0.25">
      <c r="A15" s="559"/>
      <c r="C15" s="304" t="s">
        <v>205</v>
      </c>
      <c r="D15" s="304" t="s">
        <v>206</v>
      </c>
      <c r="E15" s="304" t="s">
        <v>207</v>
      </c>
      <c r="F15" s="304" t="s">
        <v>205</v>
      </c>
      <c r="G15" s="304" t="s">
        <v>206</v>
      </c>
      <c r="H15" s="304" t="s">
        <v>207</v>
      </c>
      <c r="I15" s="552" t="s">
        <v>205</v>
      </c>
      <c r="J15" s="552" t="s">
        <v>206</v>
      </c>
      <c r="K15" s="552" t="s">
        <v>207</v>
      </c>
    </row>
    <row r="16" spans="1:11" s="82" customFormat="1" ht="15.75" x14ac:dyDescent="0.25">
      <c r="A16" s="559"/>
      <c r="C16" s="557"/>
      <c r="D16" s="557"/>
      <c r="E16" s="557"/>
      <c r="F16" s="557"/>
      <c r="G16" s="557"/>
      <c r="H16" s="557"/>
      <c r="I16" s="558">
        <f>F16-C16</f>
        <v>0</v>
      </c>
      <c r="J16" s="558">
        <f t="shared" ref="J16:K16" si="0">G16-D16</f>
        <v>0</v>
      </c>
      <c r="K16" s="558">
        <f t="shared" si="0"/>
        <v>0</v>
      </c>
    </row>
    <row r="18" spans="1:11" ht="21.75" thickBot="1" x14ac:dyDescent="0.4">
      <c r="A18" s="131" t="s">
        <v>61</v>
      </c>
      <c r="B18" s="131"/>
      <c r="C18" s="131"/>
    </row>
    <row r="19" spans="1:11" ht="16.5" thickTop="1" x14ac:dyDescent="0.25">
      <c r="A19" s="82"/>
      <c r="B19" s="82"/>
      <c r="C19" s="82"/>
      <c r="D19" s="82"/>
      <c r="E19" s="82"/>
      <c r="F19" s="82"/>
      <c r="G19" s="82"/>
      <c r="H19" s="82"/>
      <c r="I19" s="82"/>
      <c r="J19" s="82"/>
      <c r="K19" s="82"/>
    </row>
    <row r="20" spans="1:11" ht="15.75" x14ac:dyDescent="0.25">
      <c r="A20" s="605"/>
      <c r="B20" s="605"/>
      <c r="C20" s="605"/>
      <c r="D20" s="605"/>
      <c r="E20" s="605"/>
      <c r="F20" s="605"/>
      <c r="G20" s="605"/>
      <c r="H20" s="605"/>
      <c r="I20" s="605"/>
      <c r="J20" s="605"/>
      <c r="K20" s="605"/>
    </row>
    <row r="21" spans="1:11" ht="15.75" x14ac:dyDescent="0.25">
      <c r="A21" s="605"/>
      <c r="B21" s="605"/>
      <c r="C21" s="605"/>
      <c r="D21" s="605"/>
      <c r="E21" s="605"/>
      <c r="F21" s="605"/>
      <c r="G21" s="605"/>
      <c r="H21" s="605"/>
      <c r="I21" s="605"/>
      <c r="J21" s="605"/>
      <c r="K21" s="605"/>
    </row>
    <row r="22" spans="1:11" ht="15.75" x14ac:dyDescent="0.25">
      <c r="A22" s="605"/>
      <c r="B22" s="605"/>
      <c r="C22" s="605"/>
      <c r="D22" s="605"/>
      <c r="E22" s="605"/>
      <c r="F22" s="605"/>
      <c r="G22" s="605"/>
      <c r="H22" s="605"/>
      <c r="I22" s="605"/>
      <c r="J22" s="605"/>
      <c r="K22" s="605"/>
    </row>
    <row r="23" spans="1:11" ht="15.75" x14ac:dyDescent="0.25">
      <c r="A23" s="605"/>
      <c r="B23" s="605"/>
      <c r="C23" s="605"/>
      <c r="D23" s="605"/>
      <c r="E23" s="605"/>
      <c r="F23" s="605"/>
      <c r="G23" s="605"/>
      <c r="H23" s="605"/>
      <c r="I23" s="605"/>
      <c r="J23" s="605"/>
      <c r="K23" s="605"/>
    </row>
  </sheetData>
  <mergeCells count="8">
    <mergeCell ref="A21:K21"/>
    <mergeCell ref="A22:K22"/>
    <mergeCell ref="A23:K23"/>
    <mergeCell ref="B3:K3"/>
    <mergeCell ref="B4:K4"/>
    <mergeCell ref="B5:K5"/>
    <mergeCell ref="B6:K6"/>
    <mergeCell ref="A20:K20"/>
  </mergeCells>
  <phoneticPr fontId="36" type="noConversion"/>
  <printOptions horizontalCentered="1"/>
  <pageMargins left="0.25" right="0.25" top="0.75" bottom="0.75" header="0.25" footer="0.25"/>
  <pageSetup scale="66" orientation="landscape" horizontalDpi="1200" verticalDpi="1200" r:id="rId1"/>
  <headerFooter>
    <oddFooter>&amp;L2026 IND &amp;&amp; SG ACA MEDICAL RATE FILINGS -- COMMON EXHIBITS&amp;R04/07/2025</oddFooter>
  </headerFooter>
  <ignoredErrors>
    <ignoredError sqref="I15:K15 C15:H15" numberStoredAsText="1"/>
  </ignoredErrors>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3A71045E-679A-4043-90F5-780A89B275CA}">
          <x14:formula1>
            <xm:f>Lookups!$A$6:$A$10</xm:f>
          </x14:formula1>
          <xm:sqref>B10:B12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0D05C-3713-4F52-9B1F-30DC47749ECB}">
  <sheetPr>
    <tabColor theme="0" tint="-0.499984740745262"/>
    <pageSetUpPr fitToPage="1"/>
  </sheetPr>
  <dimension ref="A1:K24"/>
  <sheetViews>
    <sheetView showGridLines="0" zoomScale="70" zoomScaleNormal="70" workbookViewId="0">
      <pane xSplit="1" ySplit="10" topLeftCell="B11" activePane="bottomRight" state="frozen"/>
      <selection pane="topRight"/>
      <selection pane="bottomLeft"/>
      <selection pane="bottomRight" activeCell="B11" sqref="B11"/>
    </sheetView>
  </sheetViews>
  <sheetFormatPr defaultColWidth="20.42578125" defaultRowHeight="15" x14ac:dyDescent="0.25"/>
  <cols>
    <col min="1" max="1" width="32.42578125" customWidth="1"/>
    <col min="2" max="2" width="16.85546875" customWidth="1"/>
    <col min="3" max="11" width="17.28515625" customWidth="1"/>
    <col min="12" max="13" width="3.85546875" customWidth="1"/>
    <col min="14" max="14" width="120.140625" customWidth="1"/>
  </cols>
  <sheetData>
    <row r="1" spans="1:11" ht="26.25" x14ac:dyDescent="0.4">
      <c r="A1" s="270" t="s">
        <v>194</v>
      </c>
    </row>
    <row r="2" spans="1:11" ht="21" x14ac:dyDescent="0.35">
      <c r="A2" s="571" t="s">
        <v>118</v>
      </c>
      <c r="B2" s="227"/>
      <c r="C2" s="227"/>
      <c r="D2" s="227"/>
      <c r="E2" s="227"/>
    </row>
    <row r="3" spans="1:11" ht="15.75" x14ac:dyDescent="0.25">
      <c r="A3" s="285" t="s">
        <v>119</v>
      </c>
      <c r="B3" s="227"/>
      <c r="C3" s="227"/>
      <c r="D3" s="227"/>
      <c r="E3" s="227"/>
    </row>
    <row r="4" spans="1:11" ht="18.75" x14ac:dyDescent="0.3">
      <c r="A4" s="98" t="s">
        <v>38</v>
      </c>
      <c r="B4" s="610" t="str">
        <f>CarrierName</f>
        <v>ABC Company</v>
      </c>
      <c r="C4" s="610"/>
      <c r="D4" s="610"/>
      <c r="E4" s="610"/>
      <c r="F4" s="610"/>
      <c r="G4" s="610"/>
      <c r="H4" s="610"/>
      <c r="I4" s="610"/>
      <c r="J4" s="610"/>
      <c r="K4" s="610"/>
    </row>
    <row r="5" spans="1:11" ht="18.75" x14ac:dyDescent="0.3">
      <c r="A5" s="98" t="s">
        <v>0</v>
      </c>
      <c r="B5" s="610" t="str">
        <f>Market</f>
        <v>Individual</v>
      </c>
      <c r="C5" s="610"/>
      <c r="D5" s="610"/>
      <c r="E5" s="610"/>
      <c r="F5" s="610"/>
      <c r="G5" s="610"/>
      <c r="H5" s="610"/>
      <c r="I5" s="610"/>
      <c r="J5" s="610"/>
      <c r="K5" s="610"/>
    </row>
    <row r="6" spans="1:11" ht="18.75" x14ac:dyDescent="0.3">
      <c r="A6" s="98" t="s">
        <v>40</v>
      </c>
      <c r="B6" s="610">
        <f>PlanYear</f>
        <v>2026</v>
      </c>
      <c r="C6" s="610"/>
      <c r="D6" s="610"/>
      <c r="E6" s="610"/>
      <c r="F6" s="610"/>
      <c r="G6" s="610"/>
      <c r="H6" s="610"/>
      <c r="I6" s="610"/>
      <c r="J6" s="610"/>
      <c r="K6" s="610"/>
    </row>
    <row r="7" spans="1:11" ht="18.75" x14ac:dyDescent="0.3">
      <c r="A7" s="98" t="s">
        <v>41</v>
      </c>
      <c r="B7" s="610">
        <f>ExperYear</f>
        <v>2024</v>
      </c>
      <c r="C7" s="610"/>
      <c r="D7" s="610"/>
      <c r="E7" s="610"/>
      <c r="F7" s="610"/>
      <c r="G7" s="610"/>
      <c r="H7" s="610"/>
      <c r="I7" s="610"/>
      <c r="J7" s="610"/>
      <c r="K7" s="610"/>
    </row>
    <row r="8" spans="1:11" x14ac:dyDescent="0.25">
      <c r="A8" s="259"/>
    </row>
    <row r="9" spans="1:11" ht="21" x14ac:dyDescent="0.35">
      <c r="A9" s="269" t="s">
        <v>195</v>
      </c>
      <c r="F9" s="546" t="s">
        <v>196</v>
      </c>
      <c r="G9" s="546"/>
      <c r="H9" s="546"/>
      <c r="I9" s="550" t="s">
        <v>197</v>
      </c>
      <c r="J9" s="551"/>
      <c r="K9" s="551"/>
    </row>
    <row r="10" spans="1:11" s="370" customFormat="1" ht="69.75" customHeight="1" x14ac:dyDescent="0.25">
      <c r="A10" s="304" t="s">
        <v>198</v>
      </c>
      <c r="B10" s="304" t="s">
        <v>3</v>
      </c>
      <c r="C10" s="304" t="s">
        <v>199</v>
      </c>
      <c r="D10" s="304" t="s">
        <v>200</v>
      </c>
      <c r="E10" s="304" t="s">
        <v>201</v>
      </c>
      <c r="F10" s="304" t="s">
        <v>202</v>
      </c>
      <c r="G10" s="304" t="s">
        <v>203</v>
      </c>
      <c r="H10" s="304" t="s">
        <v>204</v>
      </c>
      <c r="I10" s="552" t="s">
        <v>205</v>
      </c>
      <c r="J10" s="553" t="s">
        <v>206</v>
      </c>
      <c r="K10" s="553" t="s">
        <v>207</v>
      </c>
    </row>
    <row r="11" spans="1:11" ht="15.75" x14ac:dyDescent="0.25">
      <c r="A11" s="547"/>
      <c r="B11" s="555" t="s">
        <v>7</v>
      </c>
      <c r="C11" s="548"/>
      <c r="D11" s="545"/>
      <c r="E11" s="545">
        <v>0.71099999999999997</v>
      </c>
      <c r="F11" s="545"/>
      <c r="G11" s="545"/>
      <c r="H11" s="549">
        <v>0.745</v>
      </c>
      <c r="I11" s="272">
        <f>tbl_Exh8.14[[#This Row],[AV Pricing Value
2024]]-tbl_Exh8.14[[#This Row],[AV Metal Value
2024]]</f>
        <v>0</v>
      </c>
      <c r="J11" s="272">
        <f>tbl_Exh8.14[[#This Row],[AV Pricing Value
2025]]-tbl_Exh8.14[[#This Row],[AV Metal Value
2025]]</f>
        <v>0</v>
      </c>
      <c r="K11" s="272">
        <f>tbl_Exh8.14[[#This Row],[AV Pricing Value
2026]]-tbl_Exh8.14[[#This Row],[AV Metal Value
2026]]</f>
        <v>3.400000000000003E-2</v>
      </c>
    </row>
    <row r="12" spans="1:11" ht="15.75" x14ac:dyDescent="0.25">
      <c r="A12" s="560"/>
      <c r="B12" s="561" t="s">
        <v>7</v>
      </c>
      <c r="C12" s="562"/>
      <c r="D12" s="563"/>
      <c r="E12" s="563">
        <v>0.71099999999999997</v>
      </c>
      <c r="F12" s="563"/>
      <c r="G12" s="563"/>
      <c r="H12" s="564">
        <v>0.71099999999999997</v>
      </c>
      <c r="I12" s="272">
        <f>tbl_Exh8.14[[#This Row],[AV Pricing Value
2024]]-tbl_Exh8.14[[#This Row],[AV Metal Value
2024]]</f>
        <v>0</v>
      </c>
      <c r="J12" s="272">
        <f>tbl_Exh8.14[[#This Row],[AV Pricing Value
2025]]-tbl_Exh8.14[[#This Row],[AV Metal Value
2025]]</f>
        <v>0</v>
      </c>
      <c r="K12" s="272">
        <f>tbl_Exh8.14[[#This Row],[AV Pricing Value
2026]]-tbl_Exh8.14[[#This Row],[AV Metal Value
2026]]</f>
        <v>0</v>
      </c>
    </row>
    <row r="13" spans="1:11" ht="15.75" x14ac:dyDescent="0.25">
      <c r="A13" s="541"/>
      <c r="B13" s="556" t="s">
        <v>7</v>
      </c>
      <c r="C13" s="542"/>
      <c r="D13" s="543"/>
      <c r="E13" s="543">
        <v>0.71099999999999997</v>
      </c>
      <c r="F13" s="543"/>
      <c r="G13" s="543"/>
      <c r="H13" s="544">
        <v>0.7</v>
      </c>
      <c r="I13" s="272">
        <f>tbl_Exh8.14[[#This Row],[AV Pricing Value
2024]]-tbl_Exh8.14[[#This Row],[AV Metal Value
2024]]</f>
        <v>0</v>
      </c>
      <c r="J13" s="272">
        <f>tbl_Exh8.14[[#This Row],[AV Pricing Value
2025]]-tbl_Exh8.14[[#This Row],[AV Metal Value
2025]]</f>
        <v>0</v>
      </c>
      <c r="K13" s="272">
        <f>tbl_Exh8.14[[#This Row],[AV Pricing Value
2026]]-tbl_Exh8.14[[#This Row],[AV Metal Value
2026]]</f>
        <v>-1.100000000000001E-2</v>
      </c>
    </row>
    <row r="15" spans="1:11" ht="15.75" x14ac:dyDescent="0.25">
      <c r="C15" s="546" t="s">
        <v>208</v>
      </c>
      <c r="D15" s="546"/>
      <c r="E15" s="546"/>
      <c r="F15" s="546" t="s">
        <v>209</v>
      </c>
      <c r="G15" s="546"/>
      <c r="H15" s="546"/>
      <c r="I15" s="550" t="s">
        <v>197</v>
      </c>
      <c r="J15" s="551"/>
      <c r="K15" s="551"/>
    </row>
    <row r="16" spans="1:11" s="82" customFormat="1" ht="15.75" x14ac:dyDescent="0.25">
      <c r="A16" s="559"/>
      <c r="C16" s="304" t="s">
        <v>205</v>
      </c>
      <c r="D16" s="304" t="s">
        <v>206</v>
      </c>
      <c r="E16" s="304" t="s">
        <v>207</v>
      </c>
      <c r="F16" s="304" t="s">
        <v>205</v>
      </c>
      <c r="G16" s="304" t="s">
        <v>206</v>
      </c>
      <c r="H16" s="304" t="s">
        <v>207</v>
      </c>
      <c r="I16" s="552" t="s">
        <v>205</v>
      </c>
      <c r="J16" s="552" t="s">
        <v>206</v>
      </c>
      <c r="K16" s="552" t="s">
        <v>207</v>
      </c>
    </row>
    <row r="17" spans="1:11" s="82" customFormat="1" ht="15.75" x14ac:dyDescent="0.25">
      <c r="A17" s="559"/>
      <c r="C17" s="557"/>
      <c r="D17" s="557"/>
      <c r="E17" s="557"/>
      <c r="F17" s="557"/>
      <c r="G17" s="557"/>
      <c r="H17" s="557"/>
      <c r="I17" s="558">
        <f>F17-C17</f>
        <v>0</v>
      </c>
      <c r="J17" s="558">
        <f t="shared" ref="J17:K17" si="0">G17-D17</f>
        <v>0</v>
      </c>
      <c r="K17" s="558">
        <f t="shared" si="0"/>
        <v>0</v>
      </c>
    </row>
    <row r="19" spans="1:11" ht="21.75" thickBot="1" x14ac:dyDescent="0.4">
      <c r="A19" s="131" t="s">
        <v>61</v>
      </c>
      <c r="B19" s="131"/>
      <c r="C19" s="131"/>
    </row>
    <row r="20" spans="1:11" ht="16.5" thickTop="1" x14ac:dyDescent="0.25">
      <c r="A20" s="82"/>
      <c r="B20" s="82"/>
      <c r="C20" s="82"/>
      <c r="D20" s="82"/>
      <c r="E20" s="82"/>
      <c r="F20" s="82"/>
      <c r="G20" s="82"/>
      <c r="H20" s="82"/>
      <c r="I20" s="82"/>
      <c r="J20" s="82"/>
      <c r="K20" s="82"/>
    </row>
    <row r="21" spans="1:11" ht="15.75" x14ac:dyDescent="0.25">
      <c r="A21" s="605"/>
      <c r="B21" s="605"/>
      <c r="C21" s="605"/>
      <c r="D21" s="605"/>
      <c r="E21" s="605"/>
      <c r="F21" s="605"/>
      <c r="G21" s="605"/>
      <c r="H21" s="605"/>
      <c r="I21" s="605"/>
      <c r="J21" s="605"/>
      <c r="K21" s="605"/>
    </row>
    <row r="22" spans="1:11" ht="15.75" x14ac:dyDescent="0.25">
      <c r="A22" s="605"/>
      <c r="B22" s="605"/>
      <c r="C22" s="605"/>
      <c r="D22" s="605"/>
      <c r="E22" s="605"/>
      <c r="F22" s="605"/>
      <c r="G22" s="605"/>
      <c r="H22" s="605"/>
      <c r="I22" s="605"/>
      <c r="J22" s="605"/>
      <c r="K22" s="605"/>
    </row>
    <row r="23" spans="1:11" ht="15.75" x14ac:dyDescent="0.25">
      <c r="A23" s="605"/>
      <c r="B23" s="605"/>
      <c r="C23" s="605"/>
      <c r="D23" s="605"/>
      <c r="E23" s="605"/>
      <c r="F23" s="605"/>
      <c r="G23" s="605"/>
      <c r="H23" s="605"/>
      <c r="I23" s="605"/>
      <c r="J23" s="605"/>
      <c r="K23" s="605"/>
    </row>
    <row r="24" spans="1:11" ht="15.75" x14ac:dyDescent="0.25">
      <c r="A24" s="605"/>
      <c r="B24" s="605"/>
      <c r="C24" s="605"/>
      <c r="D24" s="605"/>
      <c r="E24" s="605"/>
      <c r="F24" s="605"/>
      <c r="G24" s="605"/>
      <c r="H24" s="605"/>
      <c r="I24" s="605"/>
      <c r="J24" s="605"/>
      <c r="K24" s="605"/>
    </row>
  </sheetData>
  <mergeCells count="8">
    <mergeCell ref="A23:K23"/>
    <mergeCell ref="A24:K24"/>
    <mergeCell ref="B4:K4"/>
    <mergeCell ref="B5:K5"/>
    <mergeCell ref="B6:K6"/>
    <mergeCell ref="B7:K7"/>
    <mergeCell ref="A21:K21"/>
    <mergeCell ref="A22:K22"/>
  </mergeCells>
  <printOptions horizontalCentered="1"/>
  <pageMargins left="0.25" right="0.25" top="0.75" bottom="0.75" header="0.25" footer="0.25"/>
  <pageSetup scale="66" orientation="landscape" horizontalDpi="1200" verticalDpi="1200" r:id="rId1"/>
  <headerFooter>
    <oddFooter>&amp;L2026 IND &amp;&amp; SG ACA MEDICAL RATE FILINGS -- COMMON EXHIBITS&amp;R04/07/2025</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E83FE55F-3612-43EC-A78C-721EAFEA97AD}">
          <x14:formula1>
            <xm:f>Lookups!$A$6:$A$10</xm:f>
          </x14:formula1>
          <xm:sqref>B11:B13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88AD6-0AC2-4465-BC65-643196F1B544}">
  <sheetPr>
    <tabColor theme="9" tint="-0.499984740745262"/>
    <pageSetUpPr fitToPage="1"/>
  </sheetPr>
  <dimension ref="A1:R39"/>
  <sheetViews>
    <sheetView showGridLines="0" zoomScale="70" zoomScaleNormal="70" workbookViewId="0">
      <selection activeCell="B10" sqref="B10"/>
    </sheetView>
  </sheetViews>
  <sheetFormatPr defaultRowHeight="15" x14ac:dyDescent="0.25"/>
  <cols>
    <col min="1" max="1" width="52.5703125" bestFit="1" customWidth="1"/>
    <col min="2" max="9" width="10.42578125" bestFit="1" customWidth="1"/>
    <col min="10" max="12" width="9.28515625" customWidth="1"/>
    <col min="13" max="13" width="10.85546875" customWidth="1"/>
    <col min="14" max="14" width="12.28515625" customWidth="1"/>
    <col min="15" max="16" width="10.85546875" customWidth="1"/>
    <col min="17" max="17" width="12.85546875" customWidth="1"/>
    <col min="18" max="18" width="14.85546875" customWidth="1"/>
    <col min="19" max="19" width="4.28515625" customWidth="1"/>
    <col min="20" max="20" width="111" customWidth="1"/>
  </cols>
  <sheetData>
    <row r="1" spans="1:17" ht="26.25" x14ac:dyDescent="0.4">
      <c r="A1" s="270" t="s">
        <v>210</v>
      </c>
    </row>
    <row r="2" spans="1:17" x14ac:dyDescent="0.25">
      <c r="A2" s="259"/>
    </row>
    <row r="3" spans="1:17" ht="18.75" x14ac:dyDescent="0.3">
      <c r="A3" s="98" t="s">
        <v>38</v>
      </c>
      <c r="B3" s="610" t="str">
        <f>CarrierName</f>
        <v>ABC Company</v>
      </c>
      <c r="C3" s="610"/>
      <c r="D3" s="610"/>
      <c r="E3" s="610"/>
      <c r="F3" s="610"/>
      <c r="G3" s="610"/>
      <c r="H3" s="610"/>
      <c r="I3" s="610"/>
      <c r="J3" s="610"/>
      <c r="K3" s="610"/>
      <c r="L3" s="610"/>
      <c r="M3" s="610"/>
      <c r="N3" s="610"/>
      <c r="O3" s="610"/>
      <c r="P3" s="610"/>
      <c r="Q3" s="610"/>
    </row>
    <row r="4" spans="1:17" ht="18.75" x14ac:dyDescent="0.3">
      <c r="A4" s="98" t="s">
        <v>0</v>
      </c>
      <c r="B4" s="610" t="str">
        <f>Market</f>
        <v>Individual</v>
      </c>
      <c r="C4" s="610"/>
      <c r="D4" s="610"/>
      <c r="E4" s="610"/>
      <c r="F4" s="610"/>
      <c r="G4" s="610"/>
      <c r="H4" s="610"/>
      <c r="I4" s="610"/>
      <c r="J4" s="610"/>
      <c r="K4" s="610"/>
      <c r="L4" s="610"/>
      <c r="M4" s="610"/>
      <c r="N4" s="610"/>
      <c r="O4" s="610"/>
      <c r="P4" s="610"/>
      <c r="Q4" s="610"/>
    </row>
    <row r="5" spans="1:17" ht="18.75" x14ac:dyDescent="0.3">
      <c r="A5" s="98" t="s">
        <v>40</v>
      </c>
      <c r="B5" s="610">
        <f>PlanYear</f>
        <v>2026</v>
      </c>
      <c r="C5" s="610"/>
      <c r="D5" s="610"/>
      <c r="E5" s="610"/>
      <c r="F5" s="610"/>
      <c r="G5" s="610"/>
      <c r="H5" s="610"/>
      <c r="I5" s="610"/>
      <c r="J5" s="610"/>
      <c r="K5" s="610"/>
      <c r="L5" s="610"/>
      <c r="M5" s="610"/>
      <c r="N5" s="610"/>
      <c r="O5" s="610"/>
      <c r="P5" s="610"/>
      <c r="Q5" s="610"/>
    </row>
    <row r="6" spans="1:17" ht="18.75" x14ac:dyDescent="0.3">
      <c r="A6" s="98" t="s">
        <v>41</v>
      </c>
      <c r="B6" s="610">
        <f>ExperYear</f>
        <v>2024</v>
      </c>
      <c r="C6" s="610"/>
      <c r="D6" s="610"/>
      <c r="E6" s="610"/>
      <c r="F6" s="610"/>
      <c r="G6" s="610"/>
      <c r="H6" s="610"/>
      <c r="I6" s="610"/>
      <c r="J6" s="610"/>
      <c r="K6" s="610"/>
      <c r="L6" s="610"/>
      <c r="M6" s="610"/>
      <c r="N6" s="610"/>
      <c r="O6" s="610"/>
      <c r="P6" s="610"/>
      <c r="Q6" s="610"/>
    </row>
    <row r="7" spans="1:17" x14ac:dyDescent="0.25">
      <c r="A7" s="1"/>
    </row>
    <row r="8" spans="1:17" ht="32.25" x14ac:dyDescent="0.3">
      <c r="A8" s="422" t="s">
        <v>211</v>
      </c>
      <c r="B8" s="423" t="s">
        <v>185</v>
      </c>
      <c r="C8" s="423"/>
      <c r="D8" s="423"/>
      <c r="E8" s="423" t="s">
        <v>186</v>
      </c>
      <c r="F8" s="423"/>
      <c r="G8" s="423"/>
      <c r="H8" s="423"/>
      <c r="I8" s="423"/>
      <c r="J8" s="423" t="s">
        <v>212</v>
      </c>
      <c r="K8" s="423"/>
      <c r="L8" s="423"/>
      <c r="M8" s="423"/>
      <c r="N8" s="623" t="str">
        <f>D9&amp;" EXPERIENCE to "&amp;I9&amp;" PROJECTED"</f>
        <v>2024 EXPERIENCE to 2026 PROJECTED</v>
      </c>
      <c r="O8" s="423" t="s">
        <v>187</v>
      </c>
      <c r="P8" s="423"/>
      <c r="Q8" s="423"/>
    </row>
    <row r="9" spans="1:17" ht="31.5" x14ac:dyDescent="0.25">
      <c r="A9" s="456" t="s">
        <v>188</v>
      </c>
      <c r="B9" s="423">
        <f>C9-1</f>
        <v>2022</v>
      </c>
      <c r="C9" s="423">
        <f t="shared" ref="C9" si="0">D9-1</f>
        <v>2023</v>
      </c>
      <c r="D9" s="423">
        <f>ExperYear</f>
        <v>2024</v>
      </c>
      <c r="E9" s="423">
        <f t="shared" ref="E9:G9" si="1">F9-1</f>
        <v>2022</v>
      </c>
      <c r="F9" s="423">
        <f t="shared" si="1"/>
        <v>2023</v>
      </c>
      <c r="G9" s="423">
        <f t="shared" si="1"/>
        <v>2024</v>
      </c>
      <c r="H9" s="423">
        <f>I9-1</f>
        <v>2025</v>
      </c>
      <c r="I9" s="423">
        <f>PlanYear</f>
        <v>2026</v>
      </c>
      <c r="J9" s="423" t="str">
        <f>E9&amp;" to
"&amp;F9</f>
        <v>2022 to
2023</v>
      </c>
      <c r="K9" s="423" t="str">
        <f>F9&amp;" to
"&amp;G9</f>
        <v>2023 to
2024</v>
      </c>
      <c r="L9" s="423" t="str">
        <f>G9&amp;" to
"&amp;H9</f>
        <v>2024 to
2025</v>
      </c>
      <c r="M9" s="423" t="str">
        <f>H9&amp;" to
"&amp;I9</f>
        <v>2025 to
2026</v>
      </c>
      <c r="N9" s="624"/>
      <c r="O9" s="570">
        <f>B9</f>
        <v>2022</v>
      </c>
      <c r="P9" s="570">
        <f t="shared" ref="P9:Q9" si="2">C9</f>
        <v>2023</v>
      </c>
      <c r="Q9" s="570">
        <f t="shared" si="2"/>
        <v>2024</v>
      </c>
    </row>
    <row r="10" spans="1:17" ht="15.75" x14ac:dyDescent="0.25">
      <c r="A10" s="569" t="s">
        <v>213</v>
      </c>
      <c r="B10" s="449">
        <v>1</v>
      </c>
      <c r="C10" s="450">
        <v>1</v>
      </c>
      <c r="D10" s="450">
        <v>1</v>
      </c>
      <c r="E10" s="449">
        <v>1</v>
      </c>
      <c r="F10" s="450">
        <v>1</v>
      </c>
      <c r="G10" s="450">
        <v>1</v>
      </c>
      <c r="H10" s="450">
        <v>1</v>
      </c>
      <c r="I10" s="451">
        <v>1</v>
      </c>
      <c r="J10" s="452">
        <f t="shared" ref="J10:M10" si="3">F10/E10</f>
        <v>1</v>
      </c>
      <c r="K10" s="453">
        <f t="shared" si="3"/>
        <v>1</v>
      </c>
      <c r="L10" s="453">
        <f t="shared" si="3"/>
        <v>1</v>
      </c>
      <c r="M10" s="454">
        <f t="shared" si="3"/>
        <v>1</v>
      </c>
      <c r="N10" s="455">
        <f t="shared" ref="N10:N15" si="4">I10/D10</f>
        <v>1</v>
      </c>
      <c r="O10" s="453">
        <f t="shared" ref="O10:O15" si="5">B10/E10</f>
        <v>1</v>
      </c>
      <c r="P10" s="453">
        <f t="shared" ref="P10:Q10" si="6">C10/F10</f>
        <v>1</v>
      </c>
      <c r="Q10" s="454">
        <f t="shared" si="6"/>
        <v>1</v>
      </c>
    </row>
    <row r="11" spans="1:17" ht="15.75" x14ac:dyDescent="0.25">
      <c r="A11" s="590" t="s">
        <v>214</v>
      </c>
      <c r="B11" s="575">
        <v>1</v>
      </c>
      <c r="C11" s="576">
        <v>1</v>
      </c>
      <c r="D11" s="576">
        <v>1</v>
      </c>
      <c r="E11" s="575">
        <v>1</v>
      </c>
      <c r="F11" s="576">
        <v>1</v>
      </c>
      <c r="G11" s="576">
        <v>1</v>
      </c>
      <c r="H11" s="576">
        <v>1</v>
      </c>
      <c r="I11" s="577">
        <v>1</v>
      </c>
      <c r="J11" s="578">
        <f t="shared" ref="J11:J15" si="7">F11/E11</f>
        <v>1</v>
      </c>
      <c r="K11" s="579">
        <f t="shared" ref="K11:K15" si="8">G11/F11</f>
        <v>1</v>
      </c>
      <c r="L11" s="579">
        <f t="shared" ref="L11:L15" si="9">H11/G11</f>
        <v>1</v>
      </c>
      <c r="M11" s="580">
        <f t="shared" ref="M11:M15" si="10">I11/H11</f>
        <v>1</v>
      </c>
      <c r="N11" s="581">
        <f t="shared" si="4"/>
        <v>1</v>
      </c>
      <c r="O11" s="579">
        <f t="shared" si="5"/>
        <v>1</v>
      </c>
      <c r="P11" s="579">
        <f t="shared" ref="P11:P15" si="11">C11/F11</f>
        <v>1</v>
      </c>
      <c r="Q11" s="580">
        <f t="shared" ref="Q11:Q15" si="12">D11/G11</f>
        <v>1</v>
      </c>
    </row>
    <row r="12" spans="1:17" ht="15.75" x14ac:dyDescent="0.25">
      <c r="A12" s="433" t="s">
        <v>215</v>
      </c>
      <c r="B12" s="426">
        <v>1</v>
      </c>
      <c r="C12" s="427">
        <v>1</v>
      </c>
      <c r="D12" s="427">
        <v>1</v>
      </c>
      <c r="E12" s="426">
        <v>1</v>
      </c>
      <c r="F12" s="427">
        <v>1</v>
      </c>
      <c r="G12" s="427">
        <v>1</v>
      </c>
      <c r="H12" s="427">
        <v>1</v>
      </c>
      <c r="I12" s="428">
        <v>1</v>
      </c>
      <c r="J12" s="429">
        <f t="shared" si="7"/>
        <v>1</v>
      </c>
      <c r="K12" s="430">
        <f t="shared" si="8"/>
        <v>1</v>
      </c>
      <c r="L12" s="430">
        <f t="shared" si="9"/>
        <v>1</v>
      </c>
      <c r="M12" s="431">
        <f t="shared" si="10"/>
        <v>1</v>
      </c>
      <c r="N12" s="432">
        <f t="shared" si="4"/>
        <v>1</v>
      </c>
      <c r="O12" s="430">
        <f t="shared" si="5"/>
        <v>1</v>
      </c>
      <c r="P12" s="430">
        <f t="shared" si="11"/>
        <v>1</v>
      </c>
      <c r="Q12" s="431">
        <f t="shared" si="12"/>
        <v>1</v>
      </c>
    </row>
    <row r="13" spans="1:17" ht="15.75" x14ac:dyDescent="0.25">
      <c r="A13" s="433" t="s">
        <v>216</v>
      </c>
      <c r="B13" s="426">
        <v>1</v>
      </c>
      <c r="C13" s="427">
        <v>1</v>
      </c>
      <c r="D13" s="427">
        <v>1</v>
      </c>
      <c r="E13" s="426">
        <v>1</v>
      </c>
      <c r="F13" s="427">
        <v>1</v>
      </c>
      <c r="G13" s="427">
        <v>1</v>
      </c>
      <c r="H13" s="427">
        <v>1</v>
      </c>
      <c r="I13" s="428">
        <v>1</v>
      </c>
      <c r="J13" s="429">
        <f t="shared" si="7"/>
        <v>1</v>
      </c>
      <c r="K13" s="430">
        <f t="shared" si="8"/>
        <v>1</v>
      </c>
      <c r="L13" s="430">
        <f t="shared" si="9"/>
        <v>1</v>
      </c>
      <c r="M13" s="431">
        <f t="shared" si="10"/>
        <v>1</v>
      </c>
      <c r="N13" s="432">
        <f t="shared" si="4"/>
        <v>1</v>
      </c>
      <c r="O13" s="430">
        <f t="shared" si="5"/>
        <v>1</v>
      </c>
      <c r="P13" s="430">
        <f t="shared" si="11"/>
        <v>1</v>
      </c>
      <c r="Q13" s="431">
        <f t="shared" si="12"/>
        <v>1</v>
      </c>
    </row>
    <row r="14" spans="1:17" ht="15.75" x14ac:dyDescent="0.25">
      <c r="A14" s="433" t="s">
        <v>217</v>
      </c>
      <c r="B14" s="426">
        <v>1</v>
      </c>
      <c r="C14" s="427">
        <v>1</v>
      </c>
      <c r="D14" s="427">
        <v>1</v>
      </c>
      <c r="E14" s="426">
        <v>1</v>
      </c>
      <c r="F14" s="427">
        <v>1</v>
      </c>
      <c r="G14" s="427">
        <v>1</v>
      </c>
      <c r="H14" s="427">
        <v>1</v>
      </c>
      <c r="I14" s="428">
        <v>1</v>
      </c>
      <c r="J14" s="429">
        <f t="shared" si="7"/>
        <v>1</v>
      </c>
      <c r="K14" s="430">
        <f t="shared" si="8"/>
        <v>1</v>
      </c>
      <c r="L14" s="430">
        <f t="shared" si="9"/>
        <v>1</v>
      </c>
      <c r="M14" s="431">
        <f t="shared" si="10"/>
        <v>1</v>
      </c>
      <c r="N14" s="432">
        <f t="shared" si="4"/>
        <v>1</v>
      </c>
      <c r="O14" s="430">
        <f t="shared" si="5"/>
        <v>1</v>
      </c>
      <c r="P14" s="430">
        <f t="shared" si="11"/>
        <v>1</v>
      </c>
      <c r="Q14" s="431">
        <f t="shared" si="12"/>
        <v>1</v>
      </c>
    </row>
    <row r="15" spans="1:17" ht="15.75" x14ac:dyDescent="0.25">
      <c r="A15" s="591" t="s">
        <v>218</v>
      </c>
      <c r="B15" s="449">
        <v>1</v>
      </c>
      <c r="C15" s="450">
        <v>1</v>
      </c>
      <c r="D15" s="450">
        <v>1</v>
      </c>
      <c r="E15" s="449">
        <v>1</v>
      </c>
      <c r="F15" s="450">
        <v>1</v>
      </c>
      <c r="G15" s="450">
        <v>1</v>
      </c>
      <c r="H15" s="450">
        <v>1</v>
      </c>
      <c r="I15" s="451">
        <v>1</v>
      </c>
      <c r="J15" s="452">
        <f t="shared" si="7"/>
        <v>1</v>
      </c>
      <c r="K15" s="453">
        <f t="shared" si="8"/>
        <v>1</v>
      </c>
      <c r="L15" s="453">
        <f t="shared" si="9"/>
        <v>1</v>
      </c>
      <c r="M15" s="454">
        <f t="shared" si="10"/>
        <v>1</v>
      </c>
      <c r="N15" s="455">
        <f t="shared" si="4"/>
        <v>1</v>
      </c>
      <c r="O15" s="453">
        <f t="shared" si="5"/>
        <v>1</v>
      </c>
      <c r="P15" s="453">
        <f t="shared" si="11"/>
        <v>1</v>
      </c>
      <c r="Q15" s="454">
        <f t="shared" si="12"/>
        <v>1</v>
      </c>
    </row>
    <row r="16" spans="1:17" ht="15.75" x14ac:dyDescent="0.25">
      <c r="A16" s="433"/>
      <c r="B16" s="434"/>
      <c r="C16" s="82"/>
      <c r="D16" s="82"/>
      <c r="E16" s="434"/>
      <c r="F16" s="82"/>
      <c r="G16" s="82"/>
      <c r="H16" s="82"/>
      <c r="I16" s="435"/>
      <c r="J16" s="434"/>
      <c r="K16" s="82"/>
      <c r="L16" s="82"/>
      <c r="M16" s="435"/>
      <c r="N16" s="435"/>
      <c r="O16" s="82"/>
      <c r="P16" s="82"/>
      <c r="Q16" s="435"/>
    </row>
    <row r="17" spans="1:18" ht="15.75" x14ac:dyDescent="0.25">
      <c r="A17" s="583" t="s">
        <v>219</v>
      </c>
      <c r="B17" s="584"/>
      <c r="C17" s="585"/>
      <c r="D17" s="585"/>
      <c r="E17" s="584"/>
      <c r="F17" s="585"/>
      <c r="G17" s="585"/>
      <c r="H17" s="585"/>
      <c r="I17" s="586"/>
      <c r="J17" s="584"/>
      <c r="K17" s="585"/>
      <c r="L17" s="585"/>
      <c r="M17" s="586"/>
      <c r="N17" s="586"/>
      <c r="O17" s="585"/>
      <c r="P17" s="585"/>
      <c r="Q17" s="586"/>
    </row>
    <row r="18" spans="1:18" ht="15.75" x14ac:dyDescent="0.25">
      <c r="A18" s="573" t="s">
        <v>220</v>
      </c>
      <c r="B18" s="436">
        <v>1</v>
      </c>
      <c r="C18" s="437">
        <v>1</v>
      </c>
      <c r="D18" s="437">
        <v>1</v>
      </c>
      <c r="E18" s="426">
        <v>1</v>
      </c>
      <c r="F18" s="427">
        <v>1</v>
      </c>
      <c r="G18" s="427">
        <v>1</v>
      </c>
      <c r="H18" s="427">
        <v>1</v>
      </c>
      <c r="I18" s="428">
        <v>1</v>
      </c>
      <c r="J18" s="429">
        <f t="shared" ref="J18:M24" si="13">F18/E18</f>
        <v>1</v>
      </c>
      <c r="K18" s="430">
        <f t="shared" si="13"/>
        <v>1</v>
      </c>
      <c r="L18" s="430">
        <f t="shared" si="13"/>
        <v>1</v>
      </c>
      <c r="M18" s="431">
        <f t="shared" si="13"/>
        <v>1</v>
      </c>
      <c r="N18" s="432">
        <f t="shared" ref="N18:N24" si="14">I18/D18</f>
        <v>1</v>
      </c>
      <c r="O18" s="430">
        <f t="shared" ref="O18:O24" si="15">B18/E18</f>
        <v>1</v>
      </c>
      <c r="P18" s="430">
        <f t="shared" ref="P18:Q24" si="16">C18/F18</f>
        <v>1</v>
      </c>
      <c r="Q18" s="431">
        <f t="shared" si="16"/>
        <v>1</v>
      </c>
    </row>
    <row r="19" spans="1:18" ht="15.75" x14ac:dyDescent="0.25">
      <c r="A19" s="573" t="s">
        <v>4</v>
      </c>
      <c r="B19" s="436">
        <v>1</v>
      </c>
      <c r="C19" s="437">
        <v>1</v>
      </c>
      <c r="D19" s="437">
        <v>1</v>
      </c>
      <c r="E19" s="426">
        <v>1</v>
      </c>
      <c r="F19" s="427">
        <v>1</v>
      </c>
      <c r="G19" s="427">
        <v>1</v>
      </c>
      <c r="H19" s="427">
        <v>1</v>
      </c>
      <c r="I19" s="428">
        <v>1</v>
      </c>
      <c r="J19" s="429">
        <f t="shared" ref="J19:M22" si="17">F19/E19</f>
        <v>1</v>
      </c>
      <c r="K19" s="430">
        <f t="shared" si="17"/>
        <v>1</v>
      </c>
      <c r="L19" s="430">
        <f t="shared" si="17"/>
        <v>1</v>
      </c>
      <c r="M19" s="431">
        <f t="shared" si="17"/>
        <v>1</v>
      </c>
      <c r="N19" s="432">
        <f t="shared" si="14"/>
        <v>1</v>
      </c>
      <c r="O19" s="430">
        <f t="shared" si="15"/>
        <v>1</v>
      </c>
      <c r="P19" s="430">
        <f t="shared" ref="P19:Q22" si="18">C19/F19</f>
        <v>1</v>
      </c>
      <c r="Q19" s="431">
        <f t="shared" si="18"/>
        <v>1</v>
      </c>
    </row>
    <row r="20" spans="1:18" ht="15.75" x14ac:dyDescent="0.25">
      <c r="A20" s="573" t="s">
        <v>221</v>
      </c>
      <c r="B20" s="436">
        <v>1</v>
      </c>
      <c r="C20" s="437">
        <v>1</v>
      </c>
      <c r="D20" s="437">
        <v>1</v>
      </c>
      <c r="E20" s="426">
        <v>1</v>
      </c>
      <c r="F20" s="427">
        <v>1</v>
      </c>
      <c r="G20" s="427">
        <v>1</v>
      </c>
      <c r="H20" s="427">
        <v>1</v>
      </c>
      <c r="I20" s="428">
        <v>1</v>
      </c>
      <c r="J20" s="429">
        <f t="shared" si="17"/>
        <v>1</v>
      </c>
      <c r="K20" s="430">
        <f t="shared" si="17"/>
        <v>1</v>
      </c>
      <c r="L20" s="430">
        <f t="shared" si="17"/>
        <v>1</v>
      </c>
      <c r="M20" s="431">
        <f t="shared" si="17"/>
        <v>1</v>
      </c>
      <c r="N20" s="432">
        <f t="shared" si="14"/>
        <v>1</v>
      </c>
      <c r="O20" s="430">
        <f t="shared" si="15"/>
        <v>1</v>
      </c>
      <c r="P20" s="430">
        <f t="shared" si="18"/>
        <v>1</v>
      </c>
      <c r="Q20" s="431">
        <f t="shared" si="18"/>
        <v>1</v>
      </c>
    </row>
    <row r="21" spans="1:18" s="371" customFormat="1" ht="31.5" x14ac:dyDescent="0.25">
      <c r="A21" s="574" t="s">
        <v>222</v>
      </c>
      <c r="B21" s="436">
        <v>1</v>
      </c>
      <c r="C21" s="437">
        <v>1</v>
      </c>
      <c r="D21" s="437">
        <v>1</v>
      </c>
      <c r="E21" s="436">
        <v>1</v>
      </c>
      <c r="F21" s="437">
        <v>1</v>
      </c>
      <c r="G21" s="437">
        <v>1</v>
      </c>
      <c r="H21" s="437">
        <v>1</v>
      </c>
      <c r="I21" s="438">
        <v>1</v>
      </c>
      <c r="J21" s="439">
        <f t="shared" si="17"/>
        <v>1</v>
      </c>
      <c r="K21" s="440">
        <f t="shared" si="17"/>
        <v>1</v>
      </c>
      <c r="L21" s="440">
        <f t="shared" si="17"/>
        <v>1</v>
      </c>
      <c r="M21" s="441">
        <f t="shared" si="17"/>
        <v>1</v>
      </c>
      <c r="N21" s="441">
        <f t="shared" si="14"/>
        <v>1</v>
      </c>
      <c r="O21" s="440">
        <f t="shared" si="15"/>
        <v>1</v>
      </c>
      <c r="P21" s="440">
        <f t="shared" si="18"/>
        <v>1</v>
      </c>
      <c r="Q21" s="441">
        <f t="shared" si="18"/>
        <v>1</v>
      </c>
    </row>
    <row r="22" spans="1:18" s="371" customFormat="1" ht="15.75" x14ac:dyDescent="0.25">
      <c r="A22" s="582" t="s">
        <v>223</v>
      </c>
      <c r="B22" s="442">
        <f>PRODUCT(B18:B21)</f>
        <v>1</v>
      </c>
      <c r="C22" s="443">
        <f t="shared" ref="C22:I22" si="19">PRODUCT(C18:C21)</f>
        <v>1</v>
      </c>
      <c r="D22" s="443">
        <f t="shared" si="19"/>
        <v>1</v>
      </c>
      <c r="E22" s="442">
        <f t="shared" si="19"/>
        <v>1</v>
      </c>
      <c r="F22" s="443">
        <f t="shared" si="19"/>
        <v>1</v>
      </c>
      <c r="G22" s="443">
        <f t="shared" si="19"/>
        <v>1</v>
      </c>
      <c r="H22" s="443">
        <f t="shared" si="19"/>
        <v>1</v>
      </c>
      <c r="I22" s="444">
        <f t="shared" si="19"/>
        <v>1</v>
      </c>
      <c r="J22" s="445">
        <f t="shared" si="17"/>
        <v>1</v>
      </c>
      <c r="K22" s="446">
        <f t="shared" si="17"/>
        <v>1</v>
      </c>
      <c r="L22" s="446">
        <f t="shared" si="17"/>
        <v>1</v>
      </c>
      <c r="M22" s="447">
        <f t="shared" si="17"/>
        <v>1</v>
      </c>
      <c r="N22" s="447">
        <f t="shared" si="14"/>
        <v>1</v>
      </c>
      <c r="O22" s="446">
        <f t="shared" si="15"/>
        <v>1</v>
      </c>
      <c r="P22" s="446">
        <f t="shared" si="18"/>
        <v>1</v>
      </c>
      <c r="Q22" s="447">
        <f t="shared" si="18"/>
        <v>1</v>
      </c>
    </row>
    <row r="23" spans="1:18" ht="15.75" x14ac:dyDescent="0.25">
      <c r="A23" s="425" t="s">
        <v>224</v>
      </c>
      <c r="B23" s="426">
        <v>1</v>
      </c>
      <c r="C23" s="427">
        <v>1</v>
      </c>
      <c r="D23" s="427">
        <v>1</v>
      </c>
      <c r="E23" s="426">
        <v>1</v>
      </c>
      <c r="F23" s="427">
        <v>1</v>
      </c>
      <c r="G23" s="427">
        <v>1</v>
      </c>
      <c r="H23" s="427">
        <v>1</v>
      </c>
      <c r="I23" s="428">
        <v>1</v>
      </c>
      <c r="J23" s="429">
        <f t="shared" si="13"/>
        <v>1</v>
      </c>
      <c r="K23" s="430">
        <f t="shared" si="13"/>
        <v>1</v>
      </c>
      <c r="L23" s="430">
        <f t="shared" si="13"/>
        <v>1</v>
      </c>
      <c r="M23" s="431">
        <f t="shared" si="13"/>
        <v>1</v>
      </c>
      <c r="N23" s="432">
        <f t="shared" si="14"/>
        <v>1</v>
      </c>
      <c r="O23" s="430">
        <f t="shared" si="15"/>
        <v>1</v>
      </c>
      <c r="P23" s="430">
        <f t="shared" si="16"/>
        <v>1</v>
      </c>
      <c r="Q23" s="431">
        <f t="shared" si="16"/>
        <v>1</v>
      </c>
    </row>
    <row r="24" spans="1:18" ht="15.75" x14ac:dyDescent="0.25">
      <c r="A24" s="448" t="s">
        <v>225</v>
      </c>
      <c r="B24" s="449">
        <v>1</v>
      </c>
      <c r="C24" s="450">
        <v>1</v>
      </c>
      <c r="D24" s="450">
        <v>1</v>
      </c>
      <c r="E24" s="449">
        <v>1</v>
      </c>
      <c r="F24" s="450">
        <v>1</v>
      </c>
      <c r="G24" s="450">
        <v>1</v>
      </c>
      <c r="H24" s="450">
        <v>1</v>
      </c>
      <c r="I24" s="451">
        <v>1</v>
      </c>
      <c r="J24" s="452">
        <f t="shared" si="13"/>
        <v>1</v>
      </c>
      <c r="K24" s="453">
        <f t="shared" si="13"/>
        <v>1</v>
      </c>
      <c r="L24" s="453">
        <f t="shared" si="13"/>
        <v>1</v>
      </c>
      <c r="M24" s="454">
        <f t="shared" si="13"/>
        <v>1</v>
      </c>
      <c r="N24" s="455">
        <f t="shared" si="14"/>
        <v>1</v>
      </c>
      <c r="O24" s="453">
        <f t="shared" si="15"/>
        <v>1</v>
      </c>
      <c r="P24" s="453">
        <f t="shared" si="16"/>
        <v>1</v>
      </c>
      <c r="Q24" s="454">
        <f t="shared" si="16"/>
        <v>1</v>
      </c>
    </row>
    <row r="26" spans="1:18" x14ac:dyDescent="0.25">
      <c r="A26" s="57"/>
      <c r="B26" s="60"/>
    </row>
    <row r="28" spans="1:18" ht="21" x14ac:dyDescent="0.35">
      <c r="A28" s="131" t="s">
        <v>61</v>
      </c>
      <c r="B28" s="131"/>
      <c r="C28" s="131"/>
      <c r="D28" s="134"/>
      <c r="E28" s="131"/>
    </row>
    <row r="29" spans="1:18" ht="15.75" x14ac:dyDescent="0.25">
      <c r="A29" s="82"/>
      <c r="B29" s="82"/>
      <c r="C29" s="82"/>
      <c r="D29" s="82"/>
      <c r="E29" s="82"/>
      <c r="F29" s="82"/>
      <c r="G29" s="82"/>
      <c r="H29" s="82"/>
      <c r="I29" s="82"/>
      <c r="J29" s="82"/>
      <c r="K29" s="82"/>
      <c r="L29" s="82"/>
      <c r="M29" s="82"/>
      <c r="N29" s="82"/>
      <c r="O29" s="82"/>
      <c r="P29" s="82"/>
    </row>
    <row r="30" spans="1:18" ht="15.75" x14ac:dyDescent="0.25">
      <c r="A30" s="605"/>
      <c r="B30" s="606"/>
      <c r="C30" s="606"/>
      <c r="D30" s="606"/>
      <c r="E30" s="606"/>
      <c r="F30" s="606"/>
      <c r="G30" s="606"/>
      <c r="H30" s="606"/>
      <c r="I30" s="606"/>
      <c r="J30" s="606"/>
      <c r="K30" s="606"/>
      <c r="L30" s="606"/>
      <c r="M30" s="606"/>
      <c r="N30" s="606"/>
      <c r="O30" s="606"/>
      <c r="P30" s="606"/>
      <c r="Q30" s="606"/>
      <c r="R30" s="606"/>
    </row>
    <row r="31" spans="1:18" ht="15.75" x14ac:dyDescent="0.25">
      <c r="A31" s="605"/>
      <c r="B31" s="606"/>
      <c r="C31" s="606"/>
      <c r="D31" s="606"/>
      <c r="E31" s="606"/>
      <c r="F31" s="606"/>
      <c r="G31" s="606"/>
      <c r="H31" s="606"/>
      <c r="I31" s="606"/>
      <c r="J31" s="606"/>
      <c r="K31" s="606"/>
      <c r="L31" s="606"/>
      <c r="M31" s="606"/>
      <c r="N31" s="606"/>
      <c r="O31" s="606"/>
      <c r="P31" s="606"/>
      <c r="Q31" s="606"/>
      <c r="R31" s="606"/>
    </row>
    <row r="32" spans="1:18" ht="15.75" x14ac:dyDescent="0.25">
      <c r="A32" s="605"/>
      <c r="B32" s="606"/>
      <c r="C32" s="606"/>
      <c r="D32" s="606"/>
      <c r="E32" s="606"/>
      <c r="F32" s="606"/>
      <c r="G32" s="606"/>
      <c r="H32" s="606"/>
      <c r="I32" s="606"/>
      <c r="J32" s="606"/>
      <c r="K32" s="606"/>
      <c r="L32" s="606"/>
      <c r="M32" s="606"/>
      <c r="N32" s="606"/>
      <c r="O32" s="606"/>
      <c r="P32" s="606"/>
      <c r="Q32" s="606"/>
      <c r="R32" s="606"/>
    </row>
    <row r="33" spans="1:18" ht="15.75" x14ac:dyDescent="0.25">
      <c r="A33" s="605"/>
      <c r="B33" s="606"/>
      <c r="C33" s="606"/>
      <c r="D33" s="606"/>
      <c r="E33" s="606"/>
      <c r="F33" s="606"/>
      <c r="G33" s="606"/>
      <c r="H33" s="606"/>
      <c r="I33" s="606"/>
      <c r="J33" s="606"/>
      <c r="K33" s="606"/>
      <c r="L33" s="606"/>
      <c r="M33" s="606"/>
      <c r="N33" s="606"/>
      <c r="O33" s="606"/>
      <c r="P33" s="606"/>
      <c r="Q33" s="606"/>
      <c r="R33" s="606"/>
    </row>
    <row r="34" spans="1:18" ht="15.75" x14ac:dyDescent="0.25">
      <c r="A34" s="605"/>
      <c r="B34" s="606"/>
      <c r="C34" s="606"/>
      <c r="D34" s="606"/>
      <c r="E34" s="606"/>
      <c r="F34" s="606"/>
      <c r="G34" s="606"/>
      <c r="H34" s="606"/>
      <c r="I34" s="606"/>
      <c r="J34" s="606"/>
      <c r="K34" s="606"/>
      <c r="L34" s="606"/>
      <c r="M34" s="606"/>
      <c r="N34" s="606"/>
      <c r="O34" s="606"/>
      <c r="P34" s="606"/>
      <c r="Q34" s="606"/>
      <c r="R34" s="606"/>
    </row>
    <row r="35" spans="1:18" ht="15.75" x14ac:dyDescent="0.25">
      <c r="A35" s="605"/>
      <c r="B35" s="606"/>
      <c r="C35" s="606"/>
      <c r="D35" s="606"/>
      <c r="E35" s="606"/>
      <c r="F35" s="606"/>
      <c r="G35" s="606"/>
      <c r="H35" s="606"/>
      <c r="I35" s="606"/>
      <c r="J35" s="606"/>
      <c r="K35" s="606"/>
      <c r="L35" s="606"/>
      <c r="M35" s="606"/>
      <c r="N35" s="606"/>
      <c r="O35" s="606"/>
      <c r="P35" s="606"/>
      <c r="Q35" s="606"/>
      <c r="R35" s="606"/>
    </row>
    <row r="36" spans="1:18" ht="15.75" x14ac:dyDescent="0.25">
      <c r="A36" s="605"/>
      <c r="B36" s="606"/>
      <c r="C36" s="606"/>
      <c r="D36" s="606"/>
      <c r="E36" s="606"/>
      <c r="F36" s="606"/>
      <c r="G36" s="606"/>
      <c r="H36" s="606"/>
      <c r="I36" s="606"/>
      <c r="J36" s="606"/>
      <c r="K36" s="606"/>
      <c r="L36" s="606"/>
      <c r="M36" s="606"/>
      <c r="N36" s="606"/>
      <c r="O36" s="606"/>
      <c r="P36" s="606"/>
      <c r="Q36" s="606"/>
      <c r="R36" s="606"/>
    </row>
    <row r="37" spans="1:18" ht="15.75" x14ac:dyDescent="0.25">
      <c r="A37" s="605"/>
      <c r="B37" s="606"/>
      <c r="C37" s="606"/>
      <c r="D37" s="606"/>
      <c r="E37" s="606"/>
      <c r="F37" s="606"/>
      <c r="G37" s="606"/>
      <c r="H37" s="606"/>
      <c r="I37" s="606"/>
      <c r="J37" s="606"/>
      <c r="K37" s="606"/>
      <c r="L37" s="606"/>
      <c r="M37" s="606"/>
      <c r="N37" s="606"/>
      <c r="O37" s="606"/>
      <c r="P37" s="606"/>
      <c r="Q37" s="606"/>
      <c r="R37" s="606"/>
    </row>
    <row r="38" spans="1:18" ht="15.75" x14ac:dyDescent="0.25">
      <c r="A38" s="605"/>
      <c r="B38" s="606"/>
      <c r="C38" s="606"/>
      <c r="D38" s="606"/>
      <c r="E38" s="606"/>
      <c r="F38" s="606"/>
      <c r="G38" s="606"/>
      <c r="H38" s="606"/>
      <c r="I38" s="606"/>
      <c r="J38" s="606"/>
      <c r="K38" s="606"/>
      <c r="L38" s="606"/>
      <c r="M38" s="606"/>
      <c r="N38" s="606"/>
      <c r="O38" s="606"/>
      <c r="P38" s="606"/>
      <c r="Q38" s="606"/>
      <c r="R38" s="606"/>
    </row>
    <row r="39" spans="1:18" ht="15.75" x14ac:dyDescent="0.25">
      <c r="A39" s="605"/>
      <c r="B39" s="606"/>
      <c r="C39" s="606"/>
      <c r="D39" s="606"/>
      <c r="E39" s="606"/>
      <c r="F39" s="606"/>
      <c r="G39" s="606"/>
      <c r="H39" s="606"/>
      <c r="I39" s="606"/>
      <c r="J39" s="606"/>
      <c r="K39" s="606"/>
      <c r="L39" s="606"/>
      <c r="M39" s="606"/>
      <c r="N39" s="606"/>
      <c r="O39" s="606"/>
      <c r="P39" s="606"/>
      <c r="Q39" s="606"/>
      <c r="R39" s="606"/>
    </row>
  </sheetData>
  <mergeCells count="15">
    <mergeCell ref="A38:R38"/>
    <mergeCell ref="A39:R39"/>
    <mergeCell ref="A32:R32"/>
    <mergeCell ref="A33:R33"/>
    <mergeCell ref="A34:R34"/>
    <mergeCell ref="A35:R35"/>
    <mergeCell ref="A36:R36"/>
    <mergeCell ref="A37:R37"/>
    <mergeCell ref="A31:R31"/>
    <mergeCell ref="N8:N9"/>
    <mergeCell ref="A30:R30"/>
    <mergeCell ref="B3:Q3"/>
    <mergeCell ref="B4:Q4"/>
    <mergeCell ref="B5:Q5"/>
    <mergeCell ref="B6:Q6"/>
  </mergeCells>
  <printOptions horizontalCentered="1"/>
  <pageMargins left="0.25" right="0.25" top="0.75" bottom="0.75" header="0.25" footer="0.25"/>
  <pageSetup scale="57" orientation="landscape" horizontalDpi="1200" verticalDpi="1200" r:id="rId1"/>
  <headerFooter>
    <oddFooter>&amp;L2026 IND &amp;&amp; SG ACA MEDICAL RATE FILINGS -- COMMON EXHIBITS&amp;R04/07/2025</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802A0-899C-402E-A243-8E4C3BCCC0AE}">
  <sheetPr>
    <tabColor theme="9" tint="-0.499984740745262"/>
    <pageSetUpPr fitToPage="1"/>
  </sheetPr>
  <dimension ref="A1:M25"/>
  <sheetViews>
    <sheetView showGridLines="0" zoomScale="70" zoomScaleNormal="70" workbookViewId="0">
      <pane xSplit="1" ySplit="9" topLeftCell="B10" activePane="bottomRight" state="frozen"/>
      <selection pane="topRight"/>
      <selection pane="bottomLeft"/>
      <selection pane="bottomRight" activeCell="B10" sqref="B10"/>
    </sheetView>
  </sheetViews>
  <sheetFormatPr defaultColWidth="20.42578125" defaultRowHeight="15" x14ac:dyDescent="0.25"/>
  <cols>
    <col min="1" max="1" width="33.28515625" customWidth="1"/>
    <col min="4" max="4" width="20.85546875" customWidth="1"/>
    <col min="5" max="5" width="13.7109375" customWidth="1"/>
    <col min="6" max="6" width="15.28515625" customWidth="1"/>
    <col min="8" max="8" width="14.42578125" customWidth="1"/>
    <col min="11" max="11" width="19" customWidth="1"/>
    <col min="14" max="14" width="3.42578125" customWidth="1"/>
  </cols>
  <sheetData>
    <row r="1" spans="1:13" s="371" customFormat="1" ht="26.25" x14ac:dyDescent="0.25">
      <c r="A1" s="376" t="s">
        <v>226</v>
      </c>
      <c r="F1" s="481"/>
      <c r="G1"/>
      <c r="H1"/>
      <c r="I1"/>
      <c r="J1"/>
      <c r="K1"/>
      <c r="L1"/>
      <c r="M1"/>
    </row>
    <row r="2" spans="1:13" x14ac:dyDescent="0.25">
      <c r="A2" s="259"/>
    </row>
    <row r="3" spans="1:13" ht="18.75" x14ac:dyDescent="0.3">
      <c r="A3" s="98" t="s">
        <v>38</v>
      </c>
      <c r="B3" s="610" t="str">
        <f>CarrierName</f>
        <v>ABC Company</v>
      </c>
      <c r="C3" s="610"/>
      <c r="D3" s="610"/>
      <c r="E3" s="610"/>
      <c r="F3" s="610"/>
      <c r="G3" s="610"/>
      <c r="H3" s="610"/>
      <c r="I3" s="610"/>
      <c r="J3" s="610"/>
      <c r="K3" s="610"/>
      <c r="L3" s="610"/>
      <c r="M3" s="610"/>
    </row>
    <row r="4" spans="1:13" ht="18.75" x14ac:dyDescent="0.3">
      <c r="A4" s="98" t="s">
        <v>0</v>
      </c>
      <c r="B4" s="610" t="str">
        <f>Market</f>
        <v>Individual</v>
      </c>
      <c r="C4" s="610"/>
      <c r="D4" s="610"/>
      <c r="E4" s="610"/>
      <c r="F4" s="610"/>
      <c r="G4" s="610"/>
      <c r="H4" s="610"/>
      <c r="I4" s="610"/>
      <c r="J4" s="610"/>
      <c r="K4" s="610"/>
      <c r="L4" s="610"/>
      <c r="M4" s="610"/>
    </row>
    <row r="5" spans="1:13" ht="18.75" x14ac:dyDescent="0.3">
      <c r="A5" s="98" t="s">
        <v>40</v>
      </c>
      <c r="B5" s="610">
        <f>PlanYear</f>
        <v>2026</v>
      </c>
      <c r="C5" s="610"/>
      <c r="D5" s="610"/>
      <c r="E5" s="610"/>
      <c r="F5" s="610"/>
      <c r="G5" s="610"/>
      <c r="H5" s="610"/>
      <c r="I5" s="610"/>
      <c r="J5" s="610"/>
      <c r="K5" s="610"/>
      <c r="L5" s="610"/>
      <c r="M5" s="610"/>
    </row>
    <row r="6" spans="1:13" ht="18.75" x14ac:dyDescent="0.3">
      <c r="A6" s="98" t="s">
        <v>41</v>
      </c>
      <c r="B6" s="610">
        <f>ExperYear</f>
        <v>2024</v>
      </c>
      <c r="C6" s="610"/>
      <c r="D6" s="610"/>
      <c r="E6" s="610"/>
      <c r="F6" s="610"/>
      <c r="G6" s="610"/>
      <c r="H6" s="610"/>
      <c r="I6" s="610"/>
      <c r="J6" s="610"/>
      <c r="K6" s="610"/>
      <c r="L6" s="610"/>
      <c r="M6" s="610"/>
    </row>
    <row r="7" spans="1:13" x14ac:dyDescent="0.25">
      <c r="A7" s="259"/>
    </row>
    <row r="8" spans="1:13" ht="18.75" x14ac:dyDescent="0.3">
      <c r="A8" s="422" t="s">
        <v>211</v>
      </c>
      <c r="F8" s="423" t="s">
        <v>227</v>
      </c>
      <c r="G8" s="424"/>
      <c r="H8" s="424"/>
      <c r="I8" s="424"/>
      <c r="J8" s="424"/>
      <c r="K8" s="424"/>
      <c r="L8" s="424"/>
      <c r="M8" s="424"/>
    </row>
    <row r="9" spans="1:13" s="370" customFormat="1" ht="69.75" customHeight="1" x14ac:dyDescent="0.25">
      <c r="A9" s="474" t="s">
        <v>198</v>
      </c>
      <c r="B9" s="474" t="s">
        <v>3</v>
      </c>
      <c r="C9" s="474" t="s">
        <v>228</v>
      </c>
      <c r="D9" s="474" t="s">
        <v>229</v>
      </c>
      <c r="E9" s="474" t="s">
        <v>230</v>
      </c>
      <c r="F9" s="474" t="s">
        <v>43</v>
      </c>
      <c r="G9" s="474" t="s">
        <v>75</v>
      </c>
      <c r="H9" s="474" t="s">
        <v>231</v>
      </c>
      <c r="I9" s="474" t="s">
        <v>232</v>
      </c>
      <c r="J9" s="474" t="s">
        <v>233</v>
      </c>
      <c r="K9" s="474" t="s">
        <v>234</v>
      </c>
      <c r="L9" s="474" t="s">
        <v>235</v>
      </c>
      <c r="M9" s="475" t="s">
        <v>236</v>
      </c>
    </row>
    <row r="10" spans="1:13" ht="15.75" x14ac:dyDescent="0.25">
      <c r="A10" s="82"/>
      <c r="B10" s="82"/>
      <c r="C10" s="82"/>
      <c r="D10" s="82"/>
      <c r="E10" s="476"/>
      <c r="F10" s="477"/>
      <c r="G10" s="478"/>
      <c r="H10" s="478"/>
      <c r="I10" s="479" t="e">
        <f>tbl_Exh7[[#This Row],[Paid Claims]]/tbl_Exh7[[#This Row],[Allowed Claims]]</f>
        <v>#DIV/0!</v>
      </c>
      <c r="J10" s="478"/>
      <c r="K10" s="479" t="e">
        <f>(tbl_Exh7[[#This Row],[Paid Claims]]-tbl_Exh7[[#This Row],[CSR Paid Claims]])/tbl_Exh7[[#This Row],[Allowed Claims]]</f>
        <v>#DIV/0!</v>
      </c>
      <c r="L10" s="478"/>
      <c r="M10" s="480" t="str">
        <f>IF(tbl_Exh7[[#This Row],[CSR Paid Claims]]&gt;0,tbl_Exh7[[#This Row],[APTC Payments]]-tbl_Exh7[[#This Row],[CSR Paid Claims]],"")</f>
        <v/>
      </c>
    </row>
    <row r="11" spans="1:13" ht="15.75" x14ac:dyDescent="0.25">
      <c r="A11" s="565"/>
      <c r="B11" s="565"/>
      <c r="C11" s="565"/>
      <c r="D11" s="565"/>
      <c r="E11" s="566"/>
      <c r="F11" s="567"/>
      <c r="G11" s="568"/>
      <c r="H11" s="568"/>
      <c r="I11" s="479" t="e">
        <f>tbl_Exh7[[#This Row],[Paid Claims]]/tbl_Exh7[[#This Row],[Allowed Claims]]</f>
        <v>#DIV/0!</v>
      </c>
      <c r="J11" s="568"/>
      <c r="K11" s="479" t="e">
        <f>(tbl_Exh7[[#This Row],[Paid Claims]]-tbl_Exh7[[#This Row],[CSR Paid Claims]])/tbl_Exh7[[#This Row],[Allowed Claims]]</f>
        <v>#DIV/0!</v>
      </c>
      <c r="L11" s="568"/>
      <c r="M11" s="480" t="str">
        <f>IF(tbl_Exh7[[#This Row],[CSR Paid Claims]]&gt;0,tbl_Exh7[[#This Row],[APTC Payments]]-tbl_Exh7[[#This Row],[CSR Paid Claims]],"")</f>
        <v/>
      </c>
    </row>
    <row r="12" spans="1:13" ht="15.75" x14ac:dyDescent="0.25">
      <c r="A12" s="82"/>
      <c r="B12" s="82"/>
      <c r="C12" s="82"/>
      <c r="D12" s="82"/>
      <c r="E12" s="476"/>
      <c r="F12" s="477"/>
      <c r="G12" s="478"/>
      <c r="H12" s="478"/>
      <c r="I12" s="479" t="e">
        <f>tbl_Exh7[[#This Row],[Paid Claims]]/tbl_Exh7[[#This Row],[Allowed Claims]]</f>
        <v>#DIV/0!</v>
      </c>
      <c r="J12" s="478"/>
      <c r="K12" s="479" t="e">
        <f>(tbl_Exh7[[#This Row],[Paid Claims]]-tbl_Exh7[[#This Row],[CSR Paid Claims]])/tbl_Exh7[[#This Row],[Allowed Claims]]</f>
        <v>#DIV/0!</v>
      </c>
      <c r="L12" s="478"/>
      <c r="M12" s="480" t="str">
        <f>IF(tbl_Exh7[[#This Row],[CSR Paid Claims]]&gt;0,tbl_Exh7[[#This Row],[APTC Payments]]-tbl_Exh7[[#This Row],[CSR Paid Claims]],"")</f>
        <v/>
      </c>
    </row>
    <row r="14" spans="1:13" x14ac:dyDescent="0.25">
      <c r="A14" s="57"/>
      <c r="B14" s="60"/>
    </row>
    <row r="16" spans="1:13" ht="21.75" thickBot="1" x14ac:dyDescent="0.4">
      <c r="A16" s="131" t="s">
        <v>61</v>
      </c>
      <c r="B16" s="131"/>
      <c r="C16" s="131"/>
      <c r="D16" s="134"/>
      <c r="E16" s="131"/>
    </row>
    <row r="17" spans="1:13" ht="16.5" thickTop="1" x14ac:dyDescent="0.25">
      <c r="A17" s="82"/>
      <c r="B17" s="82"/>
      <c r="C17" s="82"/>
      <c r="D17" s="82"/>
      <c r="E17" s="82"/>
      <c r="F17" s="82"/>
      <c r="G17" s="82"/>
      <c r="H17" s="82"/>
      <c r="I17" s="82"/>
      <c r="J17" s="82"/>
      <c r="K17" s="82"/>
      <c r="L17" s="82"/>
      <c r="M17" s="82"/>
    </row>
    <row r="18" spans="1:13" ht="15.75" x14ac:dyDescent="0.25">
      <c r="A18" s="605"/>
      <c r="B18" s="606"/>
      <c r="C18" s="606"/>
      <c r="D18" s="606"/>
      <c r="E18" s="606"/>
      <c r="F18" s="606"/>
      <c r="G18" s="606"/>
      <c r="H18" s="606"/>
      <c r="I18" s="606"/>
      <c r="J18" s="606"/>
      <c r="K18" s="606"/>
      <c r="L18" s="606"/>
      <c r="M18" s="606"/>
    </row>
    <row r="19" spans="1:13" ht="15.75" x14ac:dyDescent="0.25">
      <c r="A19" s="605"/>
      <c r="B19" s="606"/>
      <c r="C19" s="606"/>
      <c r="D19" s="606"/>
      <c r="E19" s="606"/>
      <c r="F19" s="606"/>
      <c r="G19" s="606"/>
      <c r="H19" s="606"/>
      <c r="I19" s="606"/>
      <c r="J19" s="606"/>
      <c r="K19" s="606"/>
      <c r="L19" s="606"/>
      <c r="M19" s="606"/>
    </row>
    <row r="20" spans="1:13" ht="15.75" x14ac:dyDescent="0.25">
      <c r="A20" s="605"/>
      <c r="B20" s="606"/>
      <c r="C20" s="606"/>
      <c r="D20" s="606"/>
      <c r="E20" s="606"/>
      <c r="F20" s="606"/>
      <c r="G20" s="606"/>
      <c r="H20" s="606"/>
      <c r="I20" s="606"/>
      <c r="J20" s="606"/>
      <c r="K20" s="606"/>
      <c r="L20" s="606"/>
      <c r="M20" s="606"/>
    </row>
    <row r="21" spans="1:13" ht="15.75" x14ac:dyDescent="0.25">
      <c r="A21" s="605"/>
      <c r="B21" s="606"/>
      <c r="C21" s="606"/>
      <c r="D21" s="606"/>
      <c r="E21" s="606"/>
      <c r="F21" s="606"/>
      <c r="G21" s="606"/>
      <c r="H21" s="606"/>
      <c r="I21" s="606"/>
      <c r="J21" s="606"/>
      <c r="K21" s="606"/>
      <c r="L21" s="606"/>
      <c r="M21" s="606"/>
    </row>
    <row r="22" spans="1:13" ht="15.75" x14ac:dyDescent="0.25">
      <c r="A22" s="605"/>
      <c r="B22" s="606"/>
      <c r="C22" s="606"/>
      <c r="D22" s="606"/>
      <c r="E22" s="606"/>
      <c r="F22" s="606"/>
      <c r="G22" s="606"/>
      <c r="H22" s="606"/>
      <c r="I22" s="606"/>
      <c r="J22" s="606"/>
      <c r="K22" s="606"/>
      <c r="L22" s="606"/>
      <c r="M22" s="606"/>
    </row>
    <row r="23" spans="1:13" ht="15.75" x14ac:dyDescent="0.25">
      <c r="A23" s="605"/>
      <c r="B23" s="606"/>
      <c r="C23" s="606"/>
      <c r="D23" s="606"/>
      <c r="E23" s="606"/>
      <c r="F23" s="606"/>
      <c r="G23" s="606"/>
      <c r="H23" s="606"/>
      <c r="I23" s="606"/>
      <c r="J23" s="606"/>
      <c r="K23" s="606"/>
      <c r="L23" s="606"/>
      <c r="M23" s="606"/>
    </row>
    <row r="24" spans="1:13" ht="15.75" x14ac:dyDescent="0.25">
      <c r="A24" s="605"/>
      <c r="B24" s="606"/>
      <c r="C24" s="606"/>
      <c r="D24" s="606"/>
      <c r="E24" s="606"/>
      <c r="F24" s="606"/>
      <c r="G24" s="606"/>
      <c r="H24" s="606"/>
      <c r="I24" s="606"/>
      <c r="J24" s="606"/>
      <c r="K24" s="606"/>
      <c r="L24" s="606"/>
      <c r="M24" s="606"/>
    </row>
    <row r="25" spans="1:13" ht="15.75" x14ac:dyDescent="0.25">
      <c r="A25" s="605"/>
      <c r="B25" s="606"/>
      <c r="C25" s="606"/>
      <c r="D25" s="606"/>
      <c r="E25" s="606"/>
      <c r="F25" s="606"/>
      <c r="G25" s="606"/>
      <c r="H25" s="606"/>
      <c r="I25" s="606"/>
      <c r="J25" s="606"/>
      <c r="K25" s="606"/>
      <c r="L25" s="606"/>
      <c r="M25" s="606"/>
    </row>
  </sheetData>
  <mergeCells count="12">
    <mergeCell ref="B3:M3"/>
    <mergeCell ref="B4:M4"/>
    <mergeCell ref="B5:M5"/>
    <mergeCell ref="B6:M6"/>
    <mergeCell ref="A25:M25"/>
    <mergeCell ref="A19:M19"/>
    <mergeCell ref="A18:M18"/>
    <mergeCell ref="A20:M20"/>
    <mergeCell ref="A21:M21"/>
    <mergeCell ref="A22:M22"/>
    <mergeCell ref="A23:M23"/>
    <mergeCell ref="A24:M24"/>
  </mergeCells>
  <printOptions horizontalCentered="1"/>
  <pageMargins left="0.25" right="0.25" top="0.75" bottom="0.75" header="0.25" footer="0.25"/>
  <pageSetup scale="52" orientation="landscape" horizontalDpi="1200" verticalDpi="1200" r:id="rId1"/>
  <headerFooter>
    <oddFooter>&amp;L2026 IND &amp;&amp; SG ACA MEDICAL RATE FILINGS -- COMMON EXHIBITS&amp;R04/07/2025</oddFooter>
  </headerFooter>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DC6628E-B7CB-4C49-A45E-B5B9E59C42F7}">
          <x14:formula1>
            <xm:f>Lookups!$A$14:$A$17</xm:f>
          </x14:formula1>
          <xm:sqref>D10:E12</xm:sqref>
        </x14:dataValidation>
        <x14:dataValidation type="list" allowBlank="1" showInputMessage="1" showErrorMessage="1" xr:uid="{B674187B-6653-459A-ACDD-FD7B858DDC79}">
          <x14:formula1>
            <xm:f>Lookups!$A$6:$A$10</xm:f>
          </x14:formula1>
          <xm:sqref>B10:B12</xm:sqref>
        </x14:dataValidation>
        <x14:dataValidation type="list" allowBlank="1" showInputMessage="1" showErrorMessage="1" xr:uid="{1116AD09-4B63-4F14-9C41-E8D879FA776D}">
          <x14:formula1>
            <xm:f>Lookups!$A$20:$A$25</xm:f>
          </x14:formula1>
          <xm:sqref>C10:C12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6CFB5-645B-4CF6-9C30-CBBFAA67EE05}">
  <sheetPr>
    <tabColor theme="0" tint="-0.499984740745262"/>
    <pageSetUpPr fitToPage="1"/>
  </sheetPr>
  <dimension ref="A1:M26"/>
  <sheetViews>
    <sheetView showGridLines="0" zoomScale="70" zoomScaleNormal="70" workbookViewId="0">
      <pane xSplit="1" ySplit="10" topLeftCell="B11" activePane="bottomRight" state="frozen"/>
      <selection pane="topRight"/>
      <selection pane="bottomLeft"/>
      <selection pane="bottomRight" activeCell="B11" sqref="B11"/>
    </sheetView>
  </sheetViews>
  <sheetFormatPr defaultColWidth="20.42578125" defaultRowHeight="15" x14ac:dyDescent="0.25"/>
  <cols>
    <col min="1" max="1" width="33.28515625" customWidth="1"/>
    <col min="4" max="4" width="20.85546875" customWidth="1"/>
    <col min="5" max="5" width="13.7109375" customWidth="1"/>
    <col min="6" max="6" width="15.28515625" customWidth="1"/>
    <col min="8" max="8" width="14.42578125" customWidth="1"/>
    <col min="11" max="11" width="19" customWidth="1"/>
    <col min="14" max="14" width="3.42578125" customWidth="1"/>
  </cols>
  <sheetData>
    <row r="1" spans="1:13" s="371" customFormat="1" ht="26.25" x14ac:dyDescent="0.25">
      <c r="A1" s="376" t="s">
        <v>226</v>
      </c>
      <c r="F1" s="481"/>
      <c r="G1"/>
      <c r="H1"/>
      <c r="I1"/>
      <c r="J1"/>
      <c r="K1"/>
      <c r="L1"/>
      <c r="M1"/>
    </row>
    <row r="2" spans="1:13" s="371" customFormat="1" ht="21" x14ac:dyDescent="0.35">
      <c r="A2" s="571" t="s">
        <v>118</v>
      </c>
      <c r="B2" s="227"/>
      <c r="C2" s="227"/>
      <c r="D2" s="227"/>
      <c r="E2" s="227"/>
      <c r="F2" s="481"/>
      <c r="G2"/>
      <c r="H2"/>
      <c r="I2"/>
      <c r="J2"/>
      <c r="K2"/>
      <c r="L2"/>
      <c r="M2"/>
    </row>
    <row r="3" spans="1:13" ht="15.75" x14ac:dyDescent="0.25">
      <c r="A3" s="285" t="s">
        <v>119</v>
      </c>
      <c r="B3" s="227"/>
      <c r="C3" s="227"/>
      <c r="D3" s="227"/>
      <c r="E3" s="227"/>
    </row>
    <row r="4" spans="1:13" ht="18.75" x14ac:dyDescent="0.3">
      <c r="A4" s="98" t="s">
        <v>38</v>
      </c>
      <c r="B4" s="610" t="str">
        <f>CarrierName</f>
        <v>ABC Company</v>
      </c>
      <c r="C4" s="610"/>
      <c r="D4" s="610"/>
      <c r="E4" s="610"/>
      <c r="F4" s="610"/>
      <c r="G4" s="610"/>
      <c r="H4" s="610"/>
      <c r="I4" s="610"/>
      <c r="J4" s="610"/>
      <c r="K4" s="610"/>
      <c r="L4" s="610"/>
      <c r="M4" s="610"/>
    </row>
    <row r="5" spans="1:13" ht="18.75" x14ac:dyDescent="0.3">
      <c r="A5" s="98" t="s">
        <v>0</v>
      </c>
      <c r="B5" s="610" t="str">
        <f>Market</f>
        <v>Individual</v>
      </c>
      <c r="C5" s="610"/>
      <c r="D5" s="610"/>
      <c r="E5" s="610"/>
      <c r="F5" s="610"/>
      <c r="G5" s="610"/>
      <c r="H5" s="610"/>
      <c r="I5" s="610"/>
      <c r="J5" s="610"/>
      <c r="K5" s="610"/>
      <c r="L5" s="610"/>
      <c r="M5" s="610"/>
    </row>
    <row r="6" spans="1:13" ht="18.75" x14ac:dyDescent="0.3">
      <c r="A6" s="98" t="s">
        <v>40</v>
      </c>
      <c r="B6" s="610">
        <f>PlanYear</f>
        <v>2026</v>
      </c>
      <c r="C6" s="610"/>
      <c r="D6" s="610"/>
      <c r="E6" s="610"/>
      <c r="F6" s="610"/>
      <c r="G6" s="610"/>
      <c r="H6" s="610"/>
      <c r="I6" s="610"/>
      <c r="J6" s="610"/>
      <c r="K6" s="610"/>
      <c r="L6" s="610"/>
      <c r="M6" s="610"/>
    </row>
    <row r="7" spans="1:13" ht="18.75" x14ac:dyDescent="0.3">
      <c r="A7" s="98" t="s">
        <v>41</v>
      </c>
      <c r="B7" s="610">
        <f>ExperYear</f>
        <v>2024</v>
      </c>
      <c r="C7" s="610"/>
      <c r="D7" s="610"/>
      <c r="E7" s="610"/>
      <c r="F7" s="610"/>
      <c r="G7" s="610"/>
      <c r="H7" s="610"/>
      <c r="I7" s="610"/>
      <c r="J7" s="610"/>
      <c r="K7" s="610"/>
      <c r="L7" s="610"/>
      <c r="M7" s="610"/>
    </row>
    <row r="8" spans="1:13" x14ac:dyDescent="0.25">
      <c r="A8" s="259"/>
    </row>
    <row r="9" spans="1:13" ht="18.75" x14ac:dyDescent="0.3">
      <c r="A9" s="422" t="s">
        <v>211</v>
      </c>
      <c r="F9" s="423" t="s">
        <v>227</v>
      </c>
      <c r="G9" s="424"/>
      <c r="H9" s="424"/>
      <c r="I9" s="424"/>
      <c r="J9" s="424"/>
      <c r="K9" s="424"/>
      <c r="L9" s="424"/>
      <c r="M9" s="424"/>
    </row>
    <row r="10" spans="1:13" s="370" customFormat="1" ht="69.75" customHeight="1" x14ac:dyDescent="0.25">
      <c r="A10" s="474" t="s">
        <v>198</v>
      </c>
      <c r="B10" s="474" t="s">
        <v>3</v>
      </c>
      <c r="C10" s="474" t="s">
        <v>228</v>
      </c>
      <c r="D10" s="474" t="s">
        <v>229</v>
      </c>
      <c r="E10" s="474" t="s">
        <v>230</v>
      </c>
      <c r="F10" s="474" t="s">
        <v>43</v>
      </c>
      <c r="G10" s="474" t="s">
        <v>75</v>
      </c>
      <c r="H10" s="474" t="s">
        <v>231</v>
      </c>
      <c r="I10" s="474" t="s">
        <v>232</v>
      </c>
      <c r="J10" s="474" t="s">
        <v>233</v>
      </c>
      <c r="K10" s="474" t="s">
        <v>234</v>
      </c>
      <c r="L10" s="474" t="s">
        <v>235</v>
      </c>
      <c r="M10" s="475" t="s">
        <v>236</v>
      </c>
    </row>
    <row r="11" spans="1:13" ht="15.75" x14ac:dyDescent="0.25">
      <c r="A11" s="82" t="s">
        <v>237</v>
      </c>
      <c r="B11" s="82" t="s">
        <v>7</v>
      </c>
      <c r="C11" s="82" t="s">
        <v>17</v>
      </c>
      <c r="D11" s="82" t="s">
        <v>13</v>
      </c>
      <c r="E11" s="476"/>
      <c r="F11" s="477"/>
      <c r="G11" s="478"/>
      <c r="H11" s="478"/>
      <c r="I11" s="479" t="e">
        <f>tbl_Exh75[[#This Row],[Paid Claims]]/tbl_Exh75[[#This Row],[Allowed Claims]]</f>
        <v>#DIV/0!</v>
      </c>
      <c r="J11" s="478"/>
      <c r="K11" s="479" t="e">
        <f>(tbl_Exh75[[#This Row],[Paid Claims]]-tbl_Exh75[[#This Row],[CSR Paid Claims]])/tbl_Exh75[[#This Row],[Allowed Claims]]</f>
        <v>#DIV/0!</v>
      </c>
      <c r="L11" s="478"/>
      <c r="M11" s="480" t="str">
        <f>IF(tbl_Exh75[[#This Row],[CSR Paid Claims]]&gt;0,tbl_Exh75[[#This Row],[APTC Payments]]-tbl_Exh75[[#This Row],[CSR Paid Claims]],"")</f>
        <v/>
      </c>
    </row>
    <row r="12" spans="1:13" ht="15.75" x14ac:dyDescent="0.25">
      <c r="A12" s="565" t="s">
        <v>238</v>
      </c>
      <c r="B12" s="565" t="s">
        <v>8</v>
      </c>
      <c r="C12" s="565" t="s">
        <v>16</v>
      </c>
      <c r="D12" s="565" t="s">
        <v>14</v>
      </c>
      <c r="E12" s="566"/>
      <c r="F12" s="567"/>
      <c r="G12" s="568"/>
      <c r="H12" s="568"/>
      <c r="I12" s="479" t="e">
        <f>tbl_Exh75[[#This Row],[Paid Claims]]/tbl_Exh75[[#This Row],[Allowed Claims]]</f>
        <v>#DIV/0!</v>
      </c>
      <c r="J12" s="568"/>
      <c r="K12" s="479" t="e">
        <f>(tbl_Exh75[[#This Row],[Paid Claims]]-tbl_Exh75[[#This Row],[CSR Paid Claims]])/tbl_Exh75[[#This Row],[Allowed Claims]]</f>
        <v>#DIV/0!</v>
      </c>
      <c r="L12" s="568"/>
      <c r="M12" s="480" t="str">
        <f>IF(tbl_Exh75[[#This Row],[CSR Paid Claims]]&gt;0,tbl_Exh75[[#This Row],[APTC Payments]]-tbl_Exh75[[#This Row],[CSR Paid Claims]],"")</f>
        <v/>
      </c>
    </row>
    <row r="13" spans="1:13" ht="15.75" x14ac:dyDescent="0.25">
      <c r="A13" s="82" t="s">
        <v>239</v>
      </c>
      <c r="B13" s="82" t="s">
        <v>6</v>
      </c>
      <c r="C13" s="82" t="s">
        <v>21</v>
      </c>
      <c r="D13" s="82" t="s">
        <v>12</v>
      </c>
      <c r="E13" s="476"/>
      <c r="F13" s="477"/>
      <c r="G13" s="478"/>
      <c r="H13" s="478"/>
      <c r="I13" s="479" t="e">
        <f>tbl_Exh75[[#This Row],[Paid Claims]]/tbl_Exh75[[#This Row],[Allowed Claims]]</f>
        <v>#DIV/0!</v>
      </c>
      <c r="J13" s="478"/>
      <c r="K13" s="479" t="e">
        <f>(tbl_Exh75[[#This Row],[Paid Claims]]-tbl_Exh75[[#This Row],[CSR Paid Claims]])/tbl_Exh75[[#This Row],[Allowed Claims]]</f>
        <v>#DIV/0!</v>
      </c>
      <c r="L13" s="478"/>
      <c r="M13" s="480" t="str">
        <f>IF(tbl_Exh75[[#This Row],[CSR Paid Claims]]&gt;0,tbl_Exh75[[#This Row],[APTC Payments]]-tbl_Exh75[[#This Row],[CSR Paid Claims]],"")</f>
        <v/>
      </c>
    </row>
    <row r="15" spans="1:13" x14ac:dyDescent="0.25">
      <c r="A15" s="57"/>
      <c r="B15" s="60"/>
    </row>
    <row r="17" spans="1:13" ht="21.75" thickBot="1" x14ac:dyDescent="0.4">
      <c r="A17" s="131" t="s">
        <v>61</v>
      </c>
      <c r="B17" s="131"/>
      <c r="C17" s="131"/>
      <c r="D17" s="134"/>
      <c r="E17" s="131"/>
    </row>
    <row r="18" spans="1:13" ht="16.5" thickTop="1" x14ac:dyDescent="0.25">
      <c r="A18" s="82"/>
      <c r="B18" s="82"/>
      <c r="C18" s="82"/>
      <c r="D18" s="82"/>
      <c r="E18" s="82"/>
      <c r="F18" s="82"/>
      <c r="G18" s="82"/>
      <c r="H18" s="82"/>
      <c r="I18" s="82"/>
      <c r="J18" s="82"/>
      <c r="K18" s="82"/>
      <c r="L18" s="82"/>
      <c r="M18" s="82"/>
    </row>
    <row r="19" spans="1:13" ht="15.75" x14ac:dyDescent="0.25">
      <c r="A19" s="605"/>
      <c r="B19" s="606"/>
      <c r="C19" s="606"/>
      <c r="D19" s="606"/>
      <c r="E19" s="606"/>
      <c r="F19" s="606"/>
      <c r="G19" s="606"/>
      <c r="H19" s="606"/>
      <c r="I19" s="606"/>
      <c r="J19" s="606"/>
      <c r="K19" s="606"/>
      <c r="L19" s="606"/>
      <c r="M19" s="606"/>
    </row>
    <row r="20" spans="1:13" ht="15.75" x14ac:dyDescent="0.25">
      <c r="A20" s="605"/>
      <c r="B20" s="606"/>
      <c r="C20" s="606"/>
      <c r="D20" s="606"/>
      <c r="E20" s="606"/>
      <c r="F20" s="606"/>
      <c r="G20" s="606"/>
      <c r="H20" s="606"/>
      <c r="I20" s="606"/>
      <c r="J20" s="606"/>
      <c r="K20" s="606"/>
      <c r="L20" s="606"/>
      <c r="M20" s="606"/>
    </row>
    <row r="21" spans="1:13" ht="15.75" x14ac:dyDescent="0.25">
      <c r="A21" s="605"/>
      <c r="B21" s="606"/>
      <c r="C21" s="606"/>
      <c r="D21" s="606"/>
      <c r="E21" s="606"/>
      <c r="F21" s="606"/>
      <c r="G21" s="606"/>
      <c r="H21" s="606"/>
      <c r="I21" s="606"/>
      <c r="J21" s="606"/>
      <c r="K21" s="606"/>
      <c r="L21" s="606"/>
      <c r="M21" s="606"/>
    </row>
    <row r="22" spans="1:13" ht="15.75" x14ac:dyDescent="0.25">
      <c r="A22" s="605"/>
      <c r="B22" s="606"/>
      <c r="C22" s="606"/>
      <c r="D22" s="606"/>
      <c r="E22" s="606"/>
      <c r="F22" s="606"/>
      <c r="G22" s="606"/>
      <c r="H22" s="606"/>
      <c r="I22" s="606"/>
      <c r="J22" s="606"/>
      <c r="K22" s="606"/>
      <c r="L22" s="606"/>
      <c r="M22" s="606"/>
    </row>
    <row r="23" spans="1:13" ht="15.75" x14ac:dyDescent="0.25">
      <c r="A23" s="605"/>
      <c r="B23" s="606"/>
      <c r="C23" s="606"/>
      <c r="D23" s="606"/>
      <c r="E23" s="606"/>
      <c r="F23" s="606"/>
      <c r="G23" s="606"/>
      <c r="H23" s="606"/>
      <c r="I23" s="606"/>
      <c r="J23" s="606"/>
      <c r="K23" s="606"/>
      <c r="L23" s="606"/>
      <c r="M23" s="606"/>
    </row>
    <row r="24" spans="1:13" ht="15.75" x14ac:dyDescent="0.25">
      <c r="A24" s="605"/>
      <c r="B24" s="606"/>
      <c r="C24" s="606"/>
      <c r="D24" s="606"/>
      <c r="E24" s="606"/>
      <c r="F24" s="606"/>
      <c r="G24" s="606"/>
      <c r="H24" s="606"/>
      <c r="I24" s="606"/>
      <c r="J24" s="606"/>
      <c r="K24" s="606"/>
      <c r="L24" s="606"/>
      <c r="M24" s="606"/>
    </row>
    <row r="25" spans="1:13" ht="15.75" x14ac:dyDescent="0.25">
      <c r="A25" s="605"/>
      <c r="B25" s="606"/>
      <c r="C25" s="606"/>
      <c r="D25" s="606"/>
      <c r="E25" s="606"/>
      <c r="F25" s="606"/>
      <c r="G25" s="606"/>
      <c r="H25" s="606"/>
      <c r="I25" s="606"/>
      <c r="J25" s="606"/>
      <c r="K25" s="606"/>
      <c r="L25" s="606"/>
      <c r="M25" s="606"/>
    </row>
    <row r="26" spans="1:13" ht="15.75" x14ac:dyDescent="0.25">
      <c r="A26" s="605"/>
      <c r="B26" s="606"/>
      <c r="C26" s="606"/>
      <c r="D26" s="606"/>
      <c r="E26" s="606"/>
      <c r="F26" s="606"/>
      <c r="G26" s="606"/>
      <c r="H26" s="606"/>
      <c r="I26" s="606"/>
      <c r="J26" s="606"/>
      <c r="K26" s="606"/>
      <c r="L26" s="606"/>
      <c r="M26" s="606"/>
    </row>
  </sheetData>
  <mergeCells count="12">
    <mergeCell ref="A26:M26"/>
    <mergeCell ref="B4:M4"/>
    <mergeCell ref="B5:M5"/>
    <mergeCell ref="B6:M6"/>
    <mergeCell ref="B7:M7"/>
    <mergeCell ref="A19:M19"/>
    <mergeCell ref="A20:M20"/>
    <mergeCell ref="A21:M21"/>
    <mergeCell ref="A22:M22"/>
    <mergeCell ref="A23:M23"/>
    <mergeCell ref="A24:M24"/>
    <mergeCell ref="A25:M25"/>
  </mergeCells>
  <printOptions horizontalCentered="1"/>
  <pageMargins left="0.25" right="0.25" top="0.75" bottom="0.75" header="0.25" footer="0.25"/>
  <pageSetup scale="52" orientation="landscape" horizontalDpi="1200" verticalDpi="1200" r:id="rId1"/>
  <headerFooter>
    <oddFooter>&amp;L2026 IND &amp;&amp; SG ACA MEDICAL RATE FILINGS -- COMMON EXHIBITS&amp;R04/07/2025</oddFooter>
  </headerFooter>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A39BF82-47E8-4D67-AC60-FC348252F0BB}">
          <x14:formula1>
            <xm:f>Lookups!$A$20:$A$25</xm:f>
          </x14:formula1>
          <xm:sqref>C11:C13</xm:sqref>
        </x14:dataValidation>
        <x14:dataValidation type="list" allowBlank="1" showInputMessage="1" showErrorMessage="1" xr:uid="{521DD2CF-BE8D-4182-BFC1-D3DA833E669A}">
          <x14:formula1>
            <xm:f>Lookups!$A$6:$A$10</xm:f>
          </x14:formula1>
          <xm:sqref>B11:B13</xm:sqref>
        </x14:dataValidation>
        <x14:dataValidation type="list" allowBlank="1" showInputMessage="1" showErrorMessage="1" xr:uid="{1C947021-A4C1-4A4C-99D4-F8D254585940}">
          <x14:formula1>
            <xm:f>Lookups!$A$14:$A$17</xm:f>
          </x14:formula1>
          <xm:sqref>D11:E13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2D539-3EB2-4ABD-B3C3-DEA13E426F1C}">
  <sheetPr>
    <tabColor theme="9" tint="-0.499984740745262"/>
    <pageSetUpPr fitToPage="1"/>
  </sheetPr>
  <dimension ref="A1:L34"/>
  <sheetViews>
    <sheetView showGridLines="0" zoomScale="70" zoomScaleNormal="70" workbookViewId="0">
      <pane xSplit="1" ySplit="9" topLeftCell="B10" activePane="bottomRight" state="frozen"/>
      <selection pane="topRight"/>
      <selection pane="bottomLeft"/>
      <selection pane="bottomRight" activeCell="B10" sqref="B10"/>
    </sheetView>
  </sheetViews>
  <sheetFormatPr defaultColWidth="20.42578125" defaultRowHeight="15" x14ac:dyDescent="0.25"/>
  <cols>
    <col min="1" max="1" width="32.42578125" customWidth="1"/>
    <col min="2" max="2" width="12.140625" customWidth="1"/>
    <col min="3" max="3" width="23.7109375" bestFit="1" customWidth="1"/>
    <col min="4" max="4" width="11.42578125" customWidth="1"/>
    <col min="5" max="5" width="13.28515625" customWidth="1"/>
    <col min="6" max="9" width="11.28515625" customWidth="1"/>
    <col min="10" max="10" width="22.5703125" customWidth="1"/>
    <col min="13" max="13" width="2.140625" customWidth="1"/>
    <col min="14" max="14" width="124.85546875" customWidth="1"/>
  </cols>
  <sheetData>
    <row r="1" spans="1:12" ht="26.25" x14ac:dyDescent="0.4">
      <c r="A1" s="270" t="s">
        <v>240</v>
      </c>
    </row>
    <row r="2" spans="1:12" x14ac:dyDescent="0.25">
      <c r="A2" s="259"/>
    </row>
    <row r="3" spans="1:12" ht="18.75" x14ac:dyDescent="0.3">
      <c r="A3" s="98" t="s">
        <v>38</v>
      </c>
      <c r="B3" s="625" t="str">
        <f>CarrierName</f>
        <v>ABC Company</v>
      </c>
      <c r="C3" s="626"/>
      <c r="D3" s="626"/>
      <c r="E3" s="626"/>
      <c r="F3" s="627"/>
      <c r="G3" s="627"/>
      <c r="H3" s="627"/>
      <c r="I3" s="627"/>
      <c r="J3" s="627"/>
      <c r="K3" s="627"/>
      <c r="L3" s="628"/>
    </row>
    <row r="4" spans="1:12" ht="18.75" x14ac:dyDescent="0.3">
      <c r="A4" s="98" t="s">
        <v>0</v>
      </c>
      <c r="B4" s="625" t="str">
        <f>Market</f>
        <v>Individual</v>
      </c>
      <c r="C4" s="626"/>
      <c r="D4" s="626"/>
      <c r="E4" s="626"/>
      <c r="F4" s="627"/>
      <c r="G4" s="627"/>
      <c r="H4" s="627"/>
      <c r="I4" s="627"/>
      <c r="J4" s="627"/>
      <c r="K4" s="627"/>
      <c r="L4" s="628"/>
    </row>
    <row r="5" spans="1:12" ht="18.75" x14ac:dyDescent="0.3">
      <c r="A5" s="98" t="s">
        <v>40</v>
      </c>
      <c r="B5" s="625">
        <f>PlanYear</f>
        <v>2026</v>
      </c>
      <c r="C5" s="626"/>
      <c r="D5" s="626"/>
      <c r="E5" s="626"/>
      <c r="F5" s="627"/>
      <c r="G5" s="627"/>
      <c r="H5" s="627"/>
      <c r="I5" s="627"/>
      <c r="J5" s="627"/>
      <c r="K5" s="627"/>
      <c r="L5" s="628"/>
    </row>
    <row r="6" spans="1:12" ht="18.75" x14ac:dyDescent="0.3">
      <c r="A6" s="98" t="s">
        <v>41</v>
      </c>
      <c r="B6" s="625">
        <f>ExperYear</f>
        <v>2024</v>
      </c>
      <c r="C6" s="626"/>
      <c r="D6" s="626"/>
      <c r="E6" s="626"/>
      <c r="F6" s="627"/>
      <c r="G6" s="627"/>
      <c r="H6" s="627"/>
      <c r="I6" s="627"/>
      <c r="J6" s="627"/>
      <c r="K6" s="627"/>
      <c r="L6" s="628"/>
    </row>
    <row r="7" spans="1:12" x14ac:dyDescent="0.25">
      <c r="A7" s="259"/>
    </row>
    <row r="9" spans="1:12" s="370" customFormat="1" ht="104.25" customHeight="1" x14ac:dyDescent="0.25">
      <c r="A9" s="474" t="s">
        <v>198</v>
      </c>
      <c r="B9" s="474" t="s">
        <v>3</v>
      </c>
      <c r="C9" s="474" t="s">
        <v>229</v>
      </c>
      <c r="D9" s="474" t="s">
        <v>241</v>
      </c>
      <c r="E9" s="474" t="s">
        <v>242</v>
      </c>
      <c r="F9" s="474" t="s">
        <v>243</v>
      </c>
      <c r="G9" s="474" t="s">
        <v>220</v>
      </c>
      <c r="H9" s="474" t="s">
        <v>244</v>
      </c>
      <c r="I9" s="474" t="s">
        <v>221</v>
      </c>
      <c r="J9" s="474" t="s">
        <v>245</v>
      </c>
      <c r="K9" s="474" t="s">
        <v>246</v>
      </c>
      <c r="L9" s="474" t="s">
        <v>247</v>
      </c>
    </row>
    <row r="10" spans="1:12" ht="15.75" x14ac:dyDescent="0.25">
      <c r="A10" s="82"/>
      <c r="B10" s="82"/>
      <c r="C10" s="82"/>
      <c r="D10" s="82"/>
      <c r="E10" s="82"/>
      <c r="F10" s="592"/>
      <c r="G10" s="592"/>
      <c r="H10" s="592"/>
      <c r="I10" s="592"/>
      <c r="J10" s="482">
        <f>tbl_Exh9[[#This Row],[AV Pricing Value]]-tbl_Exh9[[#This Row],[AV Metal Value]]</f>
        <v>0</v>
      </c>
      <c r="K10" s="593" t="str">
        <f>IF(tbl_Exh9[[#This Row],[AV Pricing Value]]="","",tbl_Exh9[[#This Row],[AV Pricing Value]]^2-tbl_Exh9[[#This Row],[AV Pricing Value]]+1.24)</f>
        <v/>
      </c>
      <c r="L10" s="479" t="str">
        <f>IF(AND(tbl_Exh9[[#This Row],[CSR Silver Load]]&lt;&gt;"",tbl_Exh9[[#This Row],[CSR Silver Load]]&lt;&gt;1),1.435,"")</f>
        <v/>
      </c>
    </row>
    <row r="11" spans="1:12" ht="15.75" x14ac:dyDescent="0.25">
      <c r="A11" s="82"/>
      <c r="B11" s="82"/>
      <c r="C11" s="82"/>
      <c r="D11" s="82"/>
      <c r="E11" s="82"/>
      <c r="F11" s="592"/>
      <c r="G11" s="592"/>
      <c r="H11" s="592"/>
      <c r="I11" s="592"/>
      <c r="J11" s="482">
        <f>tbl_Exh9[[#This Row],[AV Pricing Value]]-tbl_Exh9[[#This Row],[AV Metal Value]]</f>
        <v>0</v>
      </c>
      <c r="K11" s="593" t="str">
        <f>IF(tbl_Exh9[[#This Row],[AV Pricing Value]]="","",tbl_Exh9[[#This Row],[AV Pricing Value]]^2-tbl_Exh9[[#This Row],[AV Pricing Value]]+1.24)</f>
        <v/>
      </c>
      <c r="L11" s="479" t="str">
        <f>IF(AND(tbl_Exh9[[#This Row],[CSR Silver Load]]&lt;&gt;"",tbl_Exh9[[#This Row],[CSR Silver Load]]&lt;&gt;1),1.435,"")</f>
        <v/>
      </c>
    </row>
    <row r="12" spans="1:12" ht="15.75" x14ac:dyDescent="0.25">
      <c r="A12" s="82"/>
      <c r="B12" s="82"/>
      <c r="C12" s="82"/>
      <c r="D12" s="82"/>
      <c r="E12" s="82"/>
      <c r="F12" s="592"/>
      <c r="G12" s="592"/>
      <c r="H12" s="592"/>
      <c r="I12" s="592"/>
      <c r="J12" s="482">
        <f>tbl_Exh9[[#This Row],[AV Pricing Value]]-tbl_Exh9[[#This Row],[AV Metal Value]]</f>
        <v>0</v>
      </c>
      <c r="K12" s="593" t="str">
        <f>IF(tbl_Exh9[[#This Row],[AV Pricing Value]]="","",tbl_Exh9[[#This Row],[AV Pricing Value]]^2-tbl_Exh9[[#This Row],[AV Pricing Value]]+1.24)</f>
        <v/>
      </c>
      <c r="L12" s="479" t="str">
        <f>IF(AND(tbl_Exh9[[#This Row],[CSR Silver Load]]&lt;&gt;"",tbl_Exh9[[#This Row],[CSR Silver Load]]&lt;&gt;1),1.435,"")</f>
        <v/>
      </c>
    </row>
    <row r="13" spans="1:12" ht="15.75" x14ac:dyDescent="0.25">
      <c r="A13" s="82"/>
      <c r="B13" s="82"/>
      <c r="C13" s="82"/>
      <c r="D13" s="82"/>
      <c r="E13" s="82"/>
      <c r="F13" s="592"/>
      <c r="G13" s="592"/>
      <c r="H13" s="592"/>
      <c r="I13" s="592"/>
      <c r="J13" s="482">
        <f>tbl_Exh9[[#This Row],[AV Pricing Value]]-tbl_Exh9[[#This Row],[AV Metal Value]]</f>
        <v>0</v>
      </c>
      <c r="K13" s="593" t="str">
        <f>IF(tbl_Exh9[[#This Row],[AV Pricing Value]]="","",tbl_Exh9[[#This Row],[AV Pricing Value]]^2-tbl_Exh9[[#This Row],[AV Pricing Value]]+1.24)</f>
        <v/>
      </c>
      <c r="L13" s="479" t="str">
        <f>IF(AND(tbl_Exh9[[#This Row],[CSR Silver Load]]&lt;&gt;"",tbl_Exh9[[#This Row],[CSR Silver Load]]&lt;&gt;1),1.435,"")</f>
        <v/>
      </c>
    </row>
    <row r="14" spans="1:12" ht="15.75" x14ac:dyDescent="0.25">
      <c r="A14" s="82"/>
      <c r="B14" s="82"/>
      <c r="C14" s="82"/>
      <c r="D14" s="82"/>
      <c r="E14" s="82"/>
      <c r="F14" s="592"/>
      <c r="G14" s="592"/>
      <c r="H14" s="592"/>
      <c r="I14" s="592"/>
      <c r="J14" s="482">
        <f>tbl_Exh9[[#This Row],[AV Pricing Value]]-tbl_Exh9[[#This Row],[AV Metal Value]]</f>
        <v>0</v>
      </c>
      <c r="K14" s="593" t="str">
        <f>IF(tbl_Exh9[[#This Row],[AV Pricing Value]]="","",tbl_Exh9[[#This Row],[AV Pricing Value]]^2-tbl_Exh9[[#This Row],[AV Pricing Value]]+1.24)</f>
        <v/>
      </c>
      <c r="L14" s="479" t="str">
        <f>IF(AND(tbl_Exh9[[#This Row],[CSR Silver Load]]&lt;&gt;"",tbl_Exh9[[#This Row],[CSR Silver Load]]&lt;&gt;1),1.435,"")</f>
        <v/>
      </c>
    </row>
    <row r="15" spans="1:12" ht="15.75" x14ac:dyDescent="0.25">
      <c r="A15" s="82"/>
      <c r="B15" s="82"/>
      <c r="C15" s="82"/>
      <c r="D15" s="82"/>
      <c r="E15" s="82"/>
      <c r="F15" s="592"/>
      <c r="G15" s="592"/>
      <c r="H15" s="592"/>
      <c r="I15" s="592"/>
      <c r="J15" s="482">
        <f>tbl_Exh9[[#This Row],[AV Pricing Value]]-tbl_Exh9[[#This Row],[AV Metal Value]]</f>
        <v>0</v>
      </c>
      <c r="K15" s="593" t="str">
        <f>IF(tbl_Exh9[[#This Row],[AV Pricing Value]]="","",tbl_Exh9[[#This Row],[AV Pricing Value]]^2-tbl_Exh9[[#This Row],[AV Pricing Value]]+1.24)</f>
        <v/>
      </c>
      <c r="L15" s="479" t="str">
        <f>IF(AND(tbl_Exh9[[#This Row],[CSR Silver Load]]&lt;&gt;"",tbl_Exh9[[#This Row],[CSR Silver Load]]&lt;&gt;1),1.435,"")</f>
        <v/>
      </c>
    </row>
    <row r="16" spans="1:12" ht="15.75" x14ac:dyDescent="0.25">
      <c r="A16" s="82"/>
      <c r="B16" s="82"/>
      <c r="C16" s="82"/>
      <c r="D16" s="82"/>
      <c r="E16" s="82"/>
      <c r="F16" s="592"/>
      <c r="G16" s="592"/>
      <c r="H16" s="592"/>
      <c r="I16" s="592"/>
      <c r="J16" s="482">
        <f>tbl_Exh9[[#This Row],[AV Pricing Value]]-tbl_Exh9[[#This Row],[AV Metal Value]]</f>
        <v>0</v>
      </c>
      <c r="K16" s="593" t="str">
        <f>IF(tbl_Exh9[[#This Row],[AV Pricing Value]]="","",tbl_Exh9[[#This Row],[AV Pricing Value]]^2-tbl_Exh9[[#This Row],[AV Pricing Value]]+1.24)</f>
        <v/>
      </c>
      <c r="L16" s="479" t="str">
        <f>IF(AND(tbl_Exh9[[#This Row],[CSR Silver Load]]&lt;&gt;"",tbl_Exh9[[#This Row],[CSR Silver Load]]&lt;&gt;1),1.435,"")</f>
        <v/>
      </c>
    </row>
    <row r="17" spans="1:12" ht="15.75" x14ac:dyDescent="0.25">
      <c r="A17" s="82"/>
      <c r="B17" s="82"/>
      <c r="C17" s="82"/>
      <c r="D17" s="82"/>
      <c r="E17" s="82"/>
      <c r="F17" s="592"/>
      <c r="G17" s="592"/>
      <c r="H17" s="592"/>
      <c r="I17" s="592"/>
      <c r="J17" s="482">
        <f>tbl_Exh9[[#This Row],[AV Pricing Value]]-tbl_Exh9[[#This Row],[AV Metal Value]]</f>
        <v>0</v>
      </c>
      <c r="K17" s="593" t="str">
        <f>IF(tbl_Exh9[[#This Row],[AV Pricing Value]]="","",tbl_Exh9[[#This Row],[AV Pricing Value]]^2-tbl_Exh9[[#This Row],[AV Pricing Value]]+1.24)</f>
        <v/>
      </c>
      <c r="L17" s="479" t="str">
        <f>IF(AND(tbl_Exh9[[#This Row],[CSR Silver Load]]&lt;&gt;"",tbl_Exh9[[#This Row],[CSR Silver Load]]&lt;&gt;1),1.435,"")</f>
        <v/>
      </c>
    </row>
    <row r="24" spans="1:12" ht="21.75" thickBot="1" x14ac:dyDescent="0.4">
      <c r="A24" s="131" t="s">
        <v>61</v>
      </c>
      <c r="B24" s="131"/>
      <c r="C24" s="131"/>
      <c r="D24" s="131"/>
      <c r="E24" s="131"/>
    </row>
    <row r="25" spans="1:12" ht="16.5" thickTop="1" x14ac:dyDescent="0.25">
      <c r="A25" s="82"/>
      <c r="B25" s="82"/>
      <c r="C25" s="82"/>
      <c r="D25" s="82"/>
      <c r="E25" s="82"/>
      <c r="F25" s="82"/>
      <c r="G25" s="82"/>
      <c r="H25" s="82"/>
      <c r="I25" s="82"/>
      <c r="J25" s="82"/>
      <c r="K25" s="82"/>
      <c r="L25" s="82"/>
    </row>
    <row r="26" spans="1:12" ht="15.75" x14ac:dyDescent="0.25">
      <c r="A26" s="605"/>
      <c r="B26" s="606"/>
      <c r="C26" s="606"/>
      <c r="D26" s="606"/>
      <c r="E26" s="606"/>
      <c r="F26" s="606"/>
      <c r="G26" s="606"/>
      <c r="H26" s="606"/>
      <c r="I26" s="606"/>
      <c r="J26" s="606"/>
      <c r="K26" s="606"/>
      <c r="L26" s="606"/>
    </row>
    <row r="27" spans="1:12" ht="15.75" x14ac:dyDescent="0.25">
      <c r="A27" s="605"/>
      <c r="B27" s="606"/>
      <c r="C27" s="606"/>
      <c r="D27" s="606"/>
      <c r="E27" s="606"/>
      <c r="F27" s="606"/>
      <c r="G27" s="606"/>
      <c r="H27" s="606"/>
      <c r="I27" s="606"/>
      <c r="J27" s="606"/>
      <c r="K27" s="606"/>
      <c r="L27" s="606"/>
    </row>
    <row r="28" spans="1:12" ht="15.75" x14ac:dyDescent="0.25">
      <c r="A28" s="605"/>
      <c r="B28" s="606"/>
      <c r="C28" s="606"/>
      <c r="D28" s="606"/>
      <c r="E28" s="606"/>
      <c r="F28" s="606"/>
      <c r="G28" s="606"/>
      <c r="H28" s="606"/>
      <c r="I28" s="606"/>
      <c r="J28" s="606"/>
      <c r="K28" s="606"/>
      <c r="L28" s="606"/>
    </row>
    <row r="29" spans="1:12" ht="15.75" x14ac:dyDescent="0.25">
      <c r="A29" s="605"/>
      <c r="B29" s="606"/>
      <c r="C29" s="606"/>
      <c r="D29" s="606"/>
      <c r="E29" s="606"/>
      <c r="F29" s="606"/>
      <c r="G29" s="606"/>
      <c r="H29" s="606"/>
      <c r="I29" s="606"/>
      <c r="J29" s="606"/>
      <c r="K29" s="606"/>
      <c r="L29" s="606"/>
    </row>
    <row r="30" spans="1:12" ht="15.75" x14ac:dyDescent="0.25">
      <c r="A30" s="605"/>
      <c r="B30" s="606"/>
      <c r="C30" s="606"/>
      <c r="D30" s="606"/>
      <c r="E30" s="606"/>
      <c r="F30" s="606"/>
      <c r="G30" s="606"/>
      <c r="H30" s="606"/>
      <c r="I30" s="606"/>
      <c r="J30" s="606"/>
      <c r="K30" s="606"/>
      <c r="L30" s="606"/>
    </row>
    <row r="31" spans="1:12" ht="15.75" x14ac:dyDescent="0.25">
      <c r="A31" s="605"/>
      <c r="B31" s="606"/>
      <c r="C31" s="606"/>
      <c r="D31" s="606"/>
      <c r="E31" s="606"/>
      <c r="F31" s="606"/>
      <c r="G31" s="606"/>
      <c r="H31" s="606"/>
      <c r="I31" s="606"/>
      <c r="J31" s="606"/>
      <c r="K31" s="606"/>
      <c r="L31" s="606"/>
    </row>
    <row r="32" spans="1:12" ht="15.75" x14ac:dyDescent="0.25">
      <c r="A32" s="605"/>
      <c r="B32" s="606"/>
      <c r="C32" s="606"/>
      <c r="D32" s="606"/>
      <c r="E32" s="606"/>
      <c r="F32" s="606"/>
      <c r="G32" s="606"/>
      <c r="H32" s="606"/>
      <c r="I32" s="606"/>
      <c r="J32" s="606"/>
      <c r="K32" s="606"/>
      <c r="L32" s="606"/>
    </row>
    <row r="33" spans="1:12" ht="15.75" x14ac:dyDescent="0.25">
      <c r="A33" s="605"/>
      <c r="B33" s="606"/>
      <c r="C33" s="606"/>
      <c r="D33" s="606"/>
      <c r="E33" s="606"/>
      <c r="F33" s="606"/>
      <c r="G33" s="606"/>
      <c r="H33" s="606"/>
      <c r="I33" s="606"/>
      <c r="J33" s="606"/>
      <c r="K33" s="606"/>
      <c r="L33" s="606"/>
    </row>
    <row r="34" spans="1:12" ht="15.75" x14ac:dyDescent="0.25">
      <c r="A34" s="605"/>
      <c r="B34" s="606"/>
      <c r="C34" s="606"/>
      <c r="D34" s="606"/>
      <c r="E34" s="606"/>
      <c r="F34" s="606"/>
      <c r="G34" s="606"/>
      <c r="H34" s="606"/>
      <c r="I34" s="606"/>
      <c r="J34" s="606"/>
      <c r="K34" s="606"/>
      <c r="L34" s="606"/>
    </row>
  </sheetData>
  <mergeCells count="13">
    <mergeCell ref="A27:L27"/>
    <mergeCell ref="B3:L3"/>
    <mergeCell ref="B4:L4"/>
    <mergeCell ref="B5:L5"/>
    <mergeCell ref="B6:L6"/>
    <mergeCell ref="A26:L26"/>
    <mergeCell ref="A34:L34"/>
    <mergeCell ref="A28:L28"/>
    <mergeCell ref="A29:L29"/>
    <mergeCell ref="A30:L30"/>
    <mergeCell ref="A31:L31"/>
    <mergeCell ref="A32:L32"/>
    <mergeCell ref="A33:L33"/>
  </mergeCells>
  <phoneticPr fontId="36" type="noConversion"/>
  <conditionalFormatting sqref="J10:J23">
    <cfRule type="expression" dxfId="8" priority="4">
      <formula>OR(AND(J10&lt;-2%,OR(E10="",E10="No")),AND(J10&lt;-3%,E10="Yes"))</formula>
    </cfRule>
    <cfRule type="expression" dxfId="7" priority="5">
      <formula>OR(AND(J10&gt;2%,OR(E10="",E10="No")),AND(J10&gt;3%,E10="Yes"))</formula>
    </cfRule>
  </conditionalFormatting>
  <conditionalFormatting sqref="K10:K23">
    <cfRule type="expression" dxfId="6" priority="2">
      <formula>ROUND(H10,4)&lt;&gt;ROUND(K10,4)</formula>
    </cfRule>
  </conditionalFormatting>
  <conditionalFormatting sqref="L10:L23">
    <cfRule type="expression" dxfId="5" priority="1">
      <formula>AND(I10&lt;&gt;1,I10&lt;&gt;L10)</formula>
    </cfRule>
  </conditionalFormatting>
  <dataValidations count="1">
    <dataValidation type="list" allowBlank="1" showInputMessage="1" showErrorMessage="1" sqref="D10:E23" xr:uid="{772A8323-87F6-4799-9D2B-D09B19AFBE25}">
      <formula1>"Yes, No"</formula1>
    </dataValidation>
  </dataValidations>
  <printOptions horizontalCentered="1"/>
  <pageMargins left="0.25" right="0.25" top="0.75" bottom="0.75" header="0.25" footer="0.25"/>
  <pageSetup scale="67" orientation="landscape" horizontalDpi="1200" verticalDpi="1200" r:id="rId1"/>
  <headerFooter>
    <oddFooter>&amp;L2026 IND &amp;&amp; SG ACA MEDICAL RATE FILINGS -- COMMON EXHIBITS&amp;R04/07/2025</oddFooter>
  </headerFooter>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6C9DDCEF-F478-427A-B505-19754917A460}">
          <x14:formula1>
            <xm:f>Lookups!$A$6:$A$10</xm:f>
          </x14:formula1>
          <xm:sqref>B10:B23</xm:sqref>
        </x14:dataValidation>
        <x14:dataValidation type="list" allowBlank="1" showInputMessage="1" showErrorMessage="1" xr:uid="{B7B797E5-EA49-405D-B0D1-44343D5A745C}">
          <x14:formula1>
            <xm:f>Lookups!$A$14:$A$17</xm:f>
          </x14:formula1>
          <xm:sqref>C10:C23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C7A0C-F672-4F0D-8956-7075B085A3E5}">
  <sheetPr>
    <tabColor theme="0" tint="-0.499984740745262"/>
    <pageSetUpPr fitToPage="1"/>
  </sheetPr>
  <dimension ref="A1:L35"/>
  <sheetViews>
    <sheetView showGridLines="0" zoomScale="70" zoomScaleNormal="70" workbookViewId="0">
      <pane xSplit="1" ySplit="10" topLeftCell="B11" activePane="bottomRight" state="frozen"/>
      <selection pane="topRight"/>
      <selection pane="bottomLeft"/>
      <selection pane="bottomRight" activeCell="B11" sqref="B11"/>
    </sheetView>
  </sheetViews>
  <sheetFormatPr defaultColWidth="20.42578125" defaultRowHeight="15" x14ac:dyDescent="0.25"/>
  <cols>
    <col min="1" max="1" width="32.42578125" customWidth="1"/>
    <col min="2" max="2" width="12.140625" customWidth="1"/>
    <col min="3" max="3" width="23.7109375" bestFit="1" customWidth="1"/>
    <col min="4" max="4" width="11.42578125" customWidth="1"/>
    <col min="5" max="5" width="13.28515625" customWidth="1"/>
    <col min="6" max="9" width="11.28515625" customWidth="1"/>
    <col min="10" max="10" width="22.5703125" customWidth="1"/>
    <col min="13" max="13" width="2.140625" customWidth="1"/>
    <col min="14" max="14" width="124.85546875" customWidth="1"/>
  </cols>
  <sheetData>
    <row r="1" spans="1:12" ht="26.25" x14ac:dyDescent="0.4">
      <c r="A1" s="270" t="s">
        <v>240</v>
      </c>
    </row>
    <row r="2" spans="1:12" ht="21" x14ac:dyDescent="0.35">
      <c r="A2" s="571" t="s">
        <v>118</v>
      </c>
      <c r="B2" s="227"/>
      <c r="C2" s="227"/>
      <c r="D2" s="227"/>
      <c r="E2" s="227"/>
    </row>
    <row r="3" spans="1:12" ht="15.75" x14ac:dyDescent="0.25">
      <c r="A3" s="285" t="s">
        <v>119</v>
      </c>
      <c r="B3" s="227"/>
      <c r="C3" s="227"/>
      <c r="D3" s="227"/>
      <c r="E3" s="227"/>
    </row>
    <row r="4" spans="1:12" ht="18.75" x14ac:dyDescent="0.3">
      <c r="A4" s="98" t="s">
        <v>38</v>
      </c>
      <c r="B4" s="625" t="str">
        <f>CarrierName</f>
        <v>ABC Company</v>
      </c>
      <c r="C4" s="626"/>
      <c r="D4" s="626"/>
      <c r="E4" s="626"/>
      <c r="F4" s="627"/>
      <c r="G4" s="627"/>
      <c r="H4" s="627"/>
      <c r="I4" s="627"/>
      <c r="J4" s="627"/>
      <c r="K4" s="627"/>
      <c r="L4" s="628"/>
    </row>
    <row r="5" spans="1:12" ht="18.75" x14ac:dyDescent="0.3">
      <c r="A5" s="98" t="s">
        <v>0</v>
      </c>
      <c r="B5" s="625" t="str">
        <f>Market</f>
        <v>Individual</v>
      </c>
      <c r="C5" s="626"/>
      <c r="D5" s="626"/>
      <c r="E5" s="626"/>
      <c r="F5" s="627"/>
      <c r="G5" s="627"/>
      <c r="H5" s="627"/>
      <c r="I5" s="627"/>
      <c r="J5" s="627"/>
      <c r="K5" s="627"/>
      <c r="L5" s="628"/>
    </row>
    <row r="6" spans="1:12" ht="18.75" x14ac:dyDescent="0.3">
      <c r="A6" s="98" t="s">
        <v>40</v>
      </c>
      <c r="B6" s="625">
        <f>PlanYear</f>
        <v>2026</v>
      </c>
      <c r="C6" s="626"/>
      <c r="D6" s="626"/>
      <c r="E6" s="626"/>
      <c r="F6" s="627"/>
      <c r="G6" s="627"/>
      <c r="H6" s="627"/>
      <c r="I6" s="627"/>
      <c r="J6" s="627"/>
      <c r="K6" s="627"/>
      <c r="L6" s="628"/>
    </row>
    <row r="7" spans="1:12" ht="18.75" x14ac:dyDescent="0.3">
      <c r="A7" s="98" t="s">
        <v>41</v>
      </c>
      <c r="B7" s="625">
        <f>ExperYear</f>
        <v>2024</v>
      </c>
      <c r="C7" s="626"/>
      <c r="D7" s="626"/>
      <c r="E7" s="626"/>
      <c r="F7" s="627"/>
      <c r="G7" s="627"/>
      <c r="H7" s="627"/>
      <c r="I7" s="627"/>
      <c r="J7" s="627"/>
      <c r="K7" s="627"/>
      <c r="L7" s="628"/>
    </row>
    <row r="8" spans="1:12" x14ac:dyDescent="0.25">
      <c r="A8" s="259"/>
    </row>
    <row r="10" spans="1:12" s="370" customFormat="1" ht="104.25" customHeight="1" x14ac:dyDescent="0.25">
      <c r="A10" s="474" t="s">
        <v>198</v>
      </c>
      <c r="B10" s="474" t="s">
        <v>3</v>
      </c>
      <c r="C10" s="474" t="s">
        <v>229</v>
      </c>
      <c r="D10" s="474" t="s">
        <v>241</v>
      </c>
      <c r="E10" s="474" t="s">
        <v>242</v>
      </c>
      <c r="F10" s="474" t="s">
        <v>243</v>
      </c>
      <c r="G10" s="474" t="s">
        <v>220</v>
      </c>
      <c r="H10" s="474" t="s">
        <v>244</v>
      </c>
      <c r="I10" s="474" t="s">
        <v>221</v>
      </c>
      <c r="J10" s="474" t="s">
        <v>245</v>
      </c>
      <c r="K10" s="474" t="s">
        <v>246</v>
      </c>
      <c r="L10" s="474" t="s">
        <v>247</v>
      </c>
    </row>
    <row r="11" spans="1:12" ht="15.75" x14ac:dyDescent="0.25">
      <c r="A11" s="82"/>
      <c r="B11" s="82" t="s">
        <v>7</v>
      </c>
      <c r="C11" s="82" t="s">
        <v>13</v>
      </c>
      <c r="D11" s="82" t="s">
        <v>248</v>
      </c>
      <c r="E11" s="82" t="s">
        <v>248</v>
      </c>
      <c r="F11" s="592">
        <v>0.7</v>
      </c>
      <c r="G11" s="592">
        <v>0.73099999999999998</v>
      </c>
      <c r="H11" s="592">
        <f>tbl_Exh98[[#This Row],[AV Pricing Value]]^2-tbl_Exh98[[#This Row],[AV Pricing Value]]+1.24</f>
        <v>1.043361</v>
      </c>
      <c r="I11" s="592">
        <v>1.4</v>
      </c>
      <c r="J11" s="482">
        <f>tbl_Exh98[[#This Row],[AV Pricing Value]]-tbl_Exh98[[#This Row],[AV Metal Value]]</f>
        <v>3.1000000000000028E-2</v>
      </c>
      <c r="K11" s="593">
        <f>IF(tbl_Exh98[[#This Row],[AV Pricing Value]]="","",tbl_Exh98[[#This Row],[AV Pricing Value]]^2-tbl_Exh98[[#This Row],[AV Pricing Value]]+1.24)</f>
        <v>1.043361</v>
      </c>
      <c r="L11" s="479">
        <f>IF(AND(tbl_Exh98[[#This Row],[CSR Silver Load]]&lt;&gt;"",tbl_Exh98[[#This Row],[CSR Silver Load]]&lt;&gt;1),1.435,"")</f>
        <v>1.4350000000000001</v>
      </c>
    </row>
    <row r="12" spans="1:12" ht="15.75" x14ac:dyDescent="0.25">
      <c r="A12" s="82"/>
      <c r="B12" s="82" t="s">
        <v>7</v>
      </c>
      <c r="C12" s="82" t="s">
        <v>13</v>
      </c>
      <c r="D12" s="82" t="s">
        <v>248</v>
      </c>
      <c r="E12" s="82" t="s">
        <v>248</v>
      </c>
      <c r="F12" s="592">
        <v>0.7</v>
      </c>
      <c r="G12" s="592">
        <v>0.73</v>
      </c>
      <c r="H12" s="592">
        <f>tbl_Exh98[[#This Row],[AV Pricing Value]]^2-tbl_Exh98[[#This Row],[AV Pricing Value]]+1.24</f>
        <v>1.0428999999999999</v>
      </c>
      <c r="I12" s="592">
        <v>1.4350000000000001</v>
      </c>
      <c r="J12" s="482">
        <f>tbl_Exh98[[#This Row],[AV Pricing Value]]-tbl_Exh98[[#This Row],[AV Metal Value]]</f>
        <v>3.0000000000000027E-2</v>
      </c>
      <c r="K12" s="593">
        <f>IF(tbl_Exh98[[#This Row],[AV Pricing Value]]="","",tbl_Exh98[[#This Row],[AV Pricing Value]]^2-tbl_Exh98[[#This Row],[AV Pricing Value]]+1.24)</f>
        <v>1.0428999999999999</v>
      </c>
      <c r="L12" s="479">
        <f>IF(AND(tbl_Exh98[[#This Row],[CSR Silver Load]]&lt;&gt;"",tbl_Exh98[[#This Row],[CSR Silver Load]]&lt;&gt;1),1.435,"")</f>
        <v>1.4350000000000001</v>
      </c>
    </row>
    <row r="13" spans="1:12" ht="15.75" x14ac:dyDescent="0.25">
      <c r="A13" s="82"/>
      <c r="B13" s="82" t="s">
        <v>7</v>
      </c>
      <c r="C13" s="82" t="s">
        <v>13</v>
      </c>
      <c r="D13" s="82" t="s">
        <v>248</v>
      </c>
      <c r="E13" s="82" t="s">
        <v>248</v>
      </c>
      <c r="F13" s="592">
        <v>0.7</v>
      </c>
      <c r="G13" s="592">
        <v>0.67</v>
      </c>
      <c r="H13" s="592">
        <f>tbl_Exh98[[#This Row],[AV Pricing Value]]^2-tbl_Exh98[[#This Row],[AV Pricing Value]]+1.24</f>
        <v>1.0188999999999999</v>
      </c>
      <c r="I13" s="592">
        <v>1.48</v>
      </c>
      <c r="J13" s="482">
        <f>tbl_Exh98[[#This Row],[AV Pricing Value]]-tbl_Exh98[[#This Row],[AV Metal Value]]</f>
        <v>-2.9999999999999916E-2</v>
      </c>
      <c r="K13" s="593">
        <f>IF(tbl_Exh98[[#This Row],[AV Pricing Value]]="","",tbl_Exh98[[#This Row],[AV Pricing Value]]^2-tbl_Exh98[[#This Row],[AV Pricing Value]]+1.24)</f>
        <v>1.0188999999999999</v>
      </c>
      <c r="L13" s="479">
        <f>IF(AND(tbl_Exh98[[#This Row],[CSR Silver Load]]&lt;&gt;"",tbl_Exh98[[#This Row],[CSR Silver Load]]&lt;&gt;1),1.435,"")</f>
        <v>1.4350000000000001</v>
      </c>
    </row>
    <row r="14" spans="1:12" ht="15.75" x14ac:dyDescent="0.25">
      <c r="A14" s="82"/>
      <c r="B14" s="82" t="s">
        <v>7</v>
      </c>
      <c r="C14" s="82" t="s">
        <v>13</v>
      </c>
      <c r="D14" s="82" t="s">
        <v>248</v>
      </c>
      <c r="E14" s="82" t="s">
        <v>248</v>
      </c>
      <c r="F14" s="592">
        <v>0.7</v>
      </c>
      <c r="G14" s="592">
        <v>0.66800000000000004</v>
      </c>
      <c r="H14" s="592">
        <f>tbl_Exh98[[#This Row],[AV Pricing Value]]^2-tbl_Exh98[[#This Row],[AV Pricing Value]]+1.24</f>
        <v>1.018224</v>
      </c>
      <c r="I14" s="592">
        <v>1.2</v>
      </c>
      <c r="J14" s="482">
        <f>tbl_Exh98[[#This Row],[AV Pricing Value]]-tbl_Exh98[[#This Row],[AV Metal Value]]</f>
        <v>-3.1999999999999917E-2</v>
      </c>
      <c r="K14" s="593">
        <f>IF(tbl_Exh98[[#This Row],[AV Pricing Value]]="","",tbl_Exh98[[#This Row],[AV Pricing Value]]^2-tbl_Exh98[[#This Row],[AV Pricing Value]]+1.24)</f>
        <v>1.018224</v>
      </c>
      <c r="L14" s="479">
        <f>IF(AND(tbl_Exh98[[#This Row],[CSR Silver Load]]&lt;&gt;"",tbl_Exh98[[#This Row],[CSR Silver Load]]&lt;&gt;1),1.435,"")</f>
        <v>1.4350000000000001</v>
      </c>
    </row>
    <row r="15" spans="1:12" ht="15.75" x14ac:dyDescent="0.25">
      <c r="A15" s="82"/>
      <c r="B15" s="82" t="s">
        <v>7</v>
      </c>
      <c r="C15" s="82" t="s">
        <v>13</v>
      </c>
      <c r="D15" s="82" t="s">
        <v>248</v>
      </c>
      <c r="E15" s="82" t="s">
        <v>248</v>
      </c>
      <c r="F15" s="592">
        <v>0.7</v>
      </c>
      <c r="G15" s="592">
        <v>0.72</v>
      </c>
      <c r="H15" s="592">
        <f>tbl_Exh98[[#This Row],[AV Pricing Value]]^2-tbl_Exh98[[#This Row],[AV Pricing Value]]+1.24</f>
        <v>1.0384</v>
      </c>
      <c r="I15" s="592">
        <v>1.4350000000000001</v>
      </c>
      <c r="J15" s="482">
        <f>tbl_Exh98[[#This Row],[AV Pricing Value]]-tbl_Exh98[[#This Row],[AV Metal Value]]</f>
        <v>2.0000000000000018E-2</v>
      </c>
      <c r="K15" s="593">
        <f>IF(tbl_Exh98[[#This Row],[AV Pricing Value]]="","",tbl_Exh98[[#This Row],[AV Pricing Value]]^2-tbl_Exh98[[#This Row],[AV Pricing Value]]+1.24)</f>
        <v>1.0384</v>
      </c>
      <c r="L15" s="479">
        <f>IF(AND(tbl_Exh98[[#This Row],[CSR Silver Load]]&lt;&gt;"",tbl_Exh98[[#This Row],[CSR Silver Load]]&lt;&gt;1),1.435,"")</f>
        <v>1.4350000000000001</v>
      </c>
    </row>
    <row r="16" spans="1:12" ht="15.75" x14ac:dyDescent="0.25">
      <c r="A16" s="82"/>
      <c r="B16" s="82" t="s">
        <v>7</v>
      </c>
      <c r="C16" s="82" t="s">
        <v>13</v>
      </c>
      <c r="D16" s="82" t="s">
        <v>248</v>
      </c>
      <c r="E16" s="82" t="s">
        <v>248</v>
      </c>
      <c r="F16" s="592">
        <v>0.7</v>
      </c>
      <c r="G16" s="592">
        <v>0.68</v>
      </c>
      <c r="H16" s="592">
        <f>tbl_Exh98[[#This Row],[AV Pricing Value]]^2-tbl_Exh98[[#This Row],[AV Pricing Value]]+1.24</f>
        <v>1.0224</v>
      </c>
      <c r="I16" s="592">
        <v>1.4350000000000001</v>
      </c>
      <c r="J16" s="482">
        <f>tbl_Exh98[[#This Row],[AV Pricing Value]]-tbl_Exh98[[#This Row],[AV Metal Value]]</f>
        <v>-1.9999999999999907E-2</v>
      </c>
      <c r="K16" s="593">
        <f>IF(tbl_Exh98[[#This Row],[AV Pricing Value]]="","",tbl_Exh98[[#This Row],[AV Pricing Value]]^2-tbl_Exh98[[#This Row],[AV Pricing Value]]+1.24)</f>
        <v>1.0224</v>
      </c>
      <c r="L16" s="479">
        <f>IF(AND(tbl_Exh98[[#This Row],[CSR Silver Load]]&lt;&gt;"",tbl_Exh98[[#This Row],[CSR Silver Load]]&lt;&gt;1),1.435,"")</f>
        <v>1.4350000000000001</v>
      </c>
    </row>
    <row r="17" spans="1:12" ht="15.75" x14ac:dyDescent="0.25">
      <c r="A17" s="82"/>
      <c r="B17" s="82" t="s">
        <v>7</v>
      </c>
      <c r="C17" s="82" t="s">
        <v>13</v>
      </c>
      <c r="D17" s="82" t="s">
        <v>248</v>
      </c>
      <c r="E17" s="82" t="s">
        <v>248</v>
      </c>
      <c r="F17" s="592">
        <v>0.72</v>
      </c>
      <c r="G17" s="592">
        <v>0.74</v>
      </c>
      <c r="H17" s="592">
        <f>tbl_Exh98[[#This Row],[AV Pricing Value]]^2-tbl_Exh98[[#This Row],[AV Pricing Value]]+1.24</f>
        <v>1.0476000000000001</v>
      </c>
      <c r="I17" s="592">
        <v>1.4350000000000001</v>
      </c>
      <c r="J17" s="482">
        <f>tbl_Exh98[[#This Row],[AV Pricing Value]]-tbl_Exh98[[#This Row],[AV Metal Value]]</f>
        <v>2.0000000000000018E-2</v>
      </c>
      <c r="K17" s="593">
        <f>IF(tbl_Exh98[[#This Row],[AV Pricing Value]]="","",tbl_Exh98[[#This Row],[AV Pricing Value]]^2-tbl_Exh98[[#This Row],[AV Pricing Value]]+1.24)</f>
        <v>1.0476000000000001</v>
      </c>
      <c r="L17" s="479">
        <f>IF(AND(tbl_Exh98[[#This Row],[CSR Silver Load]]&lt;&gt;"",tbl_Exh98[[#This Row],[CSR Silver Load]]&lt;&gt;1),1.435,"")</f>
        <v>1.4350000000000001</v>
      </c>
    </row>
    <row r="18" spans="1:12" ht="15.75" x14ac:dyDescent="0.25">
      <c r="A18" s="82"/>
      <c r="B18" s="82" t="s">
        <v>7</v>
      </c>
      <c r="C18" s="82" t="s">
        <v>13</v>
      </c>
      <c r="D18" s="82" t="s">
        <v>248</v>
      </c>
      <c r="E18" s="82" t="s">
        <v>248</v>
      </c>
      <c r="F18" s="592">
        <v>0.72</v>
      </c>
      <c r="G18" s="592">
        <v>0.76</v>
      </c>
      <c r="H18" s="592">
        <f>tbl_Exh98[[#This Row],[AV Pricing Value]]^2-tbl_Exh98[[#This Row],[AV Pricing Value]]+1.24</f>
        <v>1.0575999999999999</v>
      </c>
      <c r="I18" s="592">
        <v>1.4350000000000001</v>
      </c>
      <c r="J18" s="482">
        <f>tbl_Exh98[[#This Row],[AV Pricing Value]]-tbl_Exh98[[#This Row],[AV Metal Value]]</f>
        <v>4.0000000000000036E-2</v>
      </c>
      <c r="K18" s="593">
        <f>IF(tbl_Exh98[[#This Row],[AV Pricing Value]]="","",tbl_Exh98[[#This Row],[AV Pricing Value]]^2-tbl_Exh98[[#This Row],[AV Pricing Value]]+1.24)</f>
        <v>1.0575999999999999</v>
      </c>
      <c r="L18" s="479">
        <f>IF(AND(tbl_Exh98[[#This Row],[CSR Silver Load]]&lt;&gt;"",tbl_Exh98[[#This Row],[CSR Silver Load]]&lt;&gt;1),1.435,"")</f>
        <v>1.4350000000000001</v>
      </c>
    </row>
    <row r="25" spans="1:12" ht="21.75" thickBot="1" x14ac:dyDescent="0.4">
      <c r="A25" s="131" t="s">
        <v>61</v>
      </c>
      <c r="B25" s="131"/>
      <c r="C25" s="131"/>
      <c r="D25" s="131"/>
      <c r="E25" s="131"/>
    </row>
    <row r="26" spans="1:12" ht="16.5" thickTop="1" x14ac:dyDescent="0.25">
      <c r="A26" s="82"/>
      <c r="B26" s="82"/>
      <c r="C26" s="82"/>
      <c r="D26" s="82"/>
      <c r="E26" s="82"/>
      <c r="F26" s="82"/>
      <c r="G26" s="82"/>
      <c r="H26" s="82"/>
      <c r="I26" s="82"/>
      <c r="J26" s="82"/>
      <c r="K26" s="82"/>
      <c r="L26" s="82"/>
    </row>
    <row r="27" spans="1:12" ht="15.75" x14ac:dyDescent="0.25">
      <c r="A27" s="605"/>
      <c r="B27" s="606"/>
      <c r="C27" s="606"/>
      <c r="D27" s="606"/>
      <c r="E27" s="606"/>
      <c r="F27" s="606"/>
      <c r="G27" s="606"/>
      <c r="H27" s="606"/>
      <c r="I27" s="606"/>
      <c r="J27" s="606"/>
      <c r="K27" s="606"/>
      <c r="L27" s="606"/>
    </row>
    <row r="28" spans="1:12" ht="15.75" x14ac:dyDescent="0.25">
      <c r="A28" s="605"/>
      <c r="B28" s="606"/>
      <c r="C28" s="606"/>
      <c r="D28" s="606"/>
      <c r="E28" s="606"/>
      <c r="F28" s="606"/>
      <c r="G28" s="606"/>
      <c r="H28" s="606"/>
      <c r="I28" s="606"/>
      <c r="J28" s="606"/>
      <c r="K28" s="606"/>
      <c r="L28" s="606"/>
    </row>
    <row r="29" spans="1:12" ht="15.75" x14ac:dyDescent="0.25">
      <c r="A29" s="605"/>
      <c r="B29" s="606"/>
      <c r="C29" s="606"/>
      <c r="D29" s="606"/>
      <c r="E29" s="606"/>
      <c r="F29" s="606"/>
      <c r="G29" s="606"/>
      <c r="H29" s="606"/>
      <c r="I29" s="606"/>
      <c r="J29" s="606"/>
      <c r="K29" s="606"/>
      <c r="L29" s="606"/>
    </row>
    <row r="30" spans="1:12" ht="15.75" x14ac:dyDescent="0.25">
      <c r="A30" s="605"/>
      <c r="B30" s="606"/>
      <c r="C30" s="606"/>
      <c r="D30" s="606"/>
      <c r="E30" s="606"/>
      <c r="F30" s="606"/>
      <c r="G30" s="606"/>
      <c r="H30" s="606"/>
      <c r="I30" s="606"/>
      <c r="J30" s="606"/>
      <c r="K30" s="606"/>
      <c r="L30" s="606"/>
    </row>
    <row r="31" spans="1:12" ht="15.75" x14ac:dyDescent="0.25">
      <c r="A31" s="605"/>
      <c r="B31" s="606"/>
      <c r="C31" s="606"/>
      <c r="D31" s="606"/>
      <c r="E31" s="606"/>
      <c r="F31" s="606"/>
      <c r="G31" s="606"/>
      <c r="H31" s="606"/>
      <c r="I31" s="606"/>
      <c r="J31" s="606"/>
      <c r="K31" s="606"/>
      <c r="L31" s="606"/>
    </row>
    <row r="32" spans="1:12" ht="15.75" x14ac:dyDescent="0.25">
      <c r="A32" s="605"/>
      <c r="B32" s="606"/>
      <c r="C32" s="606"/>
      <c r="D32" s="606"/>
      <c r="E32" s="606"/>
      <c r="F32" s="606"/>
      <c r="G32" s="606"/>
      <c r="H32" s="606"/>
      <c r="I32" s="606"/>
      <c r="J32" s="606"/>
      <c r="K32" s="606"/>
      <c r="L32" s="606"/>
    </row>
    <row r="33" spans="1:12" ht="15.75" x14ac:dyDescent="0.25">
      <c r="A33" s="605"/>
      <c r="B33" s="606"/>
      <c r="C33" s="606"/>
      <c r="D33" s="606"/>
      <c r="E33" s="606"/>
      <c r="F33" s="606"/>
      <c r="G33" s="606"/>
      <c r="H33" s="606"/>
      <c r="I33" s="606"/>
      <c r="J33" s="606"/>
      <c r="K33" s="606"/>
      <c r="L33" s="606"/>
    </row>
    <row r="34" spans="1:12" ht="15.75" x14ac:dyDescent="0.25">
      <c r="A34" s="605"/>
      <c r="B34" s="606"/>
      <c r="C34" s="606"/>
      <c r="D34" s="606"/>
      <c r="E34" s="606"/>
      <c r="F34" s="606"/>
      <c r="G34" s="606"/>
      <c r="H34" s="606"/>
      <c r="I34" s="606"/>
      <c r="J34" s="606"/>
      <c r="K34" s="606"/>
      <c r="L34" s="606"/>
    </row>
    <row r="35" spans="1:12" ht="15.75" x14ac:dyDescent="0.25">
      <c r="A35" s="605"/>
      <c r="B35" s="606"/>
      <c r="C35" s="606"/>
      <c r="D35" s="606"/>
      <c r="E35" s="606"/>
      <c r="F35" s="606"/>
      <c r="G35" s="606"/>
      <c r="H35" s="606"/>
      <c r="I35" s="606"/>
      <c r="J35" s="606"/>
      <c r="K35" s="606"/>
      <c r="L35" s="606"/>
    </row>
  </sheetData>
  <mergeCells count="13">
    <mergeCell ref="A35:L35"/>
    <mergeCell ref="A29:L29"/>
    <mergeCell ref="A30:L30"/>
    <mergeCell ref="A31:L31"/>
    <mergeCell ref="A32:L32"/>
    <mergeCell ref="A33:L33"/>
    <mergeCell ref="A34:L34"/>
    <mergeCell ref="A28:L28"/>
    <mergeCell ref="B4:L4"/>
    <mergeCell ref="B5:L5"/>
    <mergeCell ref="B6:L6"/>
    <mergeCell ref="B7:L7"/>
    <mergeCell ref="A27:L27"/>
  </mergeCells>
  <conditionalFormatting sqref="J11:J24">
    <cfRule type="expression" dxfId="4" priority="3">
      <formula>OR(AND(J11&lt;-2%,OR(E11="",E11="No")),AND(J11&lt;-3%,E11="Yes"))</formula>
    </cfRule>
    <cfRule type="expression" dxfId="3" priority="4">
      <formula>OR(AND(J11&gt;2%,OR(E11="",E11="No")),AND(J11&gt;3%,E11="Yes"))</formula>
    </cfRule>
  </conditionalFormatting>
  <conditionalFormatting sqref="K11:K24">
    <cfRule type="expression" dxfId="2" priority="2">
      <formula>ROUND(H11,4)&lt;&gt;ROUND(K11,4)</formula>
    </cfRule>
  </conditionalFormatting>
  <conditionalFormatting sqref="L11:L24">
    <cfRule type="expression" dxfId="1" priority="1">
      <formula>AND(I11&lt;&gt;1,I11&lt;&gt;L11)</formula>
    </cfRule>
  </conditionalFormatting>
  <dataValidations count="1">
    <dataValidation type="list" allowBlank="1" showInputMessage="1" showErrorMessage="1" sqref="D11:E24" xr:uid="{C4E78C37-9FD5-4A01-947F-A5BF56AB1B08}">
      <formula1>"Yes, No"</formula1>
    </dataValidation>
  </dataValidations>
  <printOptions horizontalCentered="1"/>
  <pageMargins left="0.25" right="0.25" top="0.75" bottom="0.75" header="0.25" footer="0.25"/>
  <pageSetup scale="67" orientation="landscape" horizontalDpi="1200" verticalDpi="1200" r:id="rId1"/>
  <headerFooter>
    <oddFooter>&amp;L2026 IND &amp;&amp; SG ACA MEDICAL RATE FILINGS -- COMMON EXHIBITS&amp;R04/07/2025</oddFooter>
  </headerFooter>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D28E153-FC4C-48F9-8454-80458DFCA665}">
          <x14:formula1>
            <xm:f>Lookups!$A$14:$A$17</xm:f>
          </x14:formula1>
          <xm:sqref>C11:C24</xm:sqref>
        </x14:dataValidation>
        <x14:dataValidation type="list" allowBlank="1" showInputMessage="1" showErrorMessage="1" xr:uid="{7DCB79CD-DAF0-4E41-A483-B89CD148475A}">
          <x14:formula1>
            <xm:f>Lookups!$A$6:$A$10</xm:f>
          </x14:formula1>
          <xm:sqref>B11:B24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A9341-098C-4713-91D7-7D0551251515}">
  <sheetPr codeName="Sheet10">
    <tabColor theme="9" tint="-0.499984740745262"/>
    <pageSetUpPr fitToPage="1"/>
  </sheetPr>
  <dimension ref="A1:AH77"/>
  <sheetViews>
    <sheetView showGridLines="0" zoomScale="70" zoomScaleNormal="70" workbookViewId="0">
      <pane xSplit="1" ySplit="12" topLeftCell="B13" activePane="bottomRight" state="frozen"/>
      <selection pane="topRight"/>
      <selection pane="bottomLeft"/>
      <selection pane="bottomRight" activeCell="B13" sqref="B13"/>
    </sheetView>
  </sheetViews>
  <sheetFormatPr defaultRowHeight="15" x14ac:dyDescent="0.25"/>
  <cols>
    <col min="1" max="1" width="66.7109375" customWidth="1"/>
    <col min="2" max="2" width="10.7109375" customWidth="1"/>
    <col min="3" max="3" width="12.140625" customWidth="1"/>
    <col min="4" max="4" width="12.7109375" bestFit="1" customWidth="1"/>
    <col min="5" max="5" width="10" bestFit="1" customWidth="1"/>
    <col min="6" max="7" width="13.42578125" bestFit="1" customWidth="1"/>
    <col min="8" max="8" width="12.7109375" bestFit="1" customWidth="1"/>
    <col min="9" max="9" width="1.7109375" customWidth="1"/>
    <col min="10" max="10" width="14" customWidth="1"/>
    <col min="11" max="11" width="10" bestFit="1" customWidth="1"/>
    <col min="12" max="12" width="2.7109375" customWidth="1"/>
    <col min="13" max="13" width="66.140625" customWidth="1"/>
    <col min="14" max="14" width="11.42578125" customWidth="1"/>
    <col min="15" max="15" width="12.28515625" customWidth="1"/>
    <col min="16" max="16" width="12.7109375" bestFit="1" customWidth="1"/>
    <col min="17" max="17" width="10.7109375" bestFit="1" customWidth="1"/>
    <col min="18" max="18" width="12.28515625" bestFit="1" customWidth="1"/>
    <col min="19" max="19" width="11.5703125" bestFit="1" customWidth="1"/>
    <col min="20" max="20" width="12.7109375" bestFit="1" customWidth="1"/>
    <col min="21" max="21" width="1.7109375" customWidth="1"/>
    <col min="22" max="22" width="13.28515625" customWidth="1"/>
    <col min="23" max="23" width="10" bestFit="1" customWidth="1"/>
    <col min="24" max="24" width="2.7109375" customWidth="1"/>
    <col min="25" max="25" width="11.140625" customWidth="1"/>
    <col min="26" max="26" width="10" customWidth="1"/>
    <col min="32" max="32" width="1.7109375" customWidth="1"/>
    <col min="33" max="33" width="13.5703125" customWidth="1"/>
  </cols>
  <sheetData>
    <row r="1" spans="1:34" ht="26.25" x14ac:dyDescent="0.4">
      <c r="A1" s="270" t="s">
        <v>249</v>
      </c>
    </row>
    <row r="2" spans="1:34" x14ac:dyDescent="0.25">
      <c r="A2" s="259"/>
    </row>
    <row r="3" spans="1:34" ht="18.75" x14ac:dyDescent="0.3">
      <c r="A3" s="98" t="s">
        <v>38</v>
      </c>
      <c r="B3" s="621" t="str">
        <f>CarrierName</f>
        <v>ABC Company</v>
      </c>
      <c r="C3" s="622"/>
      <c r="D3" s="622"/>
      <c r="E3" s="622"/>
      <c r="F3" s="622"/>
      <c r="G3" s="622"/>
      <c r="H3" s="622"/>
      <c r="I3" s="622"/>
      <c r="J3" s="622"/>
      <c r="K3" s="622"/>
      <c r="L3" s="622"/>
      <c r="M3" s="622"/>
    </row>
    <row r="4" spans="1:34" ht="18.75" x14ac:dyDescent="0.3">
      <c r="A4" s="98" t="s">
        <v>0</v>
      </c>
      <c r="B4" s="621" t="str">
        <f>Market</f>
        <v>Individual</v>
      </c>
      <c r="C4" s="622"/>
      <c r="D4" s="622"/>
      <c r="E4" s="622"/>
      <c r="F4" s="622"/>
      <c r="G4" s="622"/>
      <c r="H4" s="622"/>
      <c r="I4" s="622"/>
      <c r="J4" s="622"/>
      <c r="K4" s="622"/>
      <c r="L4" s="622"/>
      <c r="M4" s="622"/>
    </row>
    <row r="5" spans="1:34" ht="18.75" x14ac:dyDescent="0.3">
      <c r="A5" s="98" t="s">
        <v>40</v>
      </c>
      <c r="B5" s="621">
        <f>PlanYear</f>
        <v>2026</v>
      </c>
      <c r="C5" s="622"/>
      <c r="D5" s="622"/>
      <c r="E5" s="622"/>
      <c r="F5" s="622"/>
      <c r="G5" s="622"/>
      <c r="H5" s="622"/>
      <c r="I5" s="622"/>
      <c r="J5" s="622"/>
      <c r="K5" s="622"/>
      <c r="L5" s="622"/>
      <c r="M5" s="622"/>
    </row>
    <row r="6" spans="1:34" ht="18.75" x14ac:dyDescent="0.3">
      <c r="A6" s="98" t="s">
        <v>41</v>
      </c>
      <c r="B6" s="621">
        <f>ExperYear</f>
        <v>2024</v>
      </c>
      <c r="C6" s="622"/>
      <c r="D6" s="622"/>
      <c r="E6" s="622"/>
      <c r="F6" s="622"/>
      <c r="G6" s="622"/>
      <c r="H6" s="622"/>
      <c r="I6" s="622"/>
      <c r="J6" s="622"/>
      <c r="K6" s="622"/>
      <c r="L6" s="622"/>
      <c r="M6" s="622"/>
    </row>
    <row r="7" spans="1:34" x14ac:dyDescent="0.25">
      <c r="A7" s="259"/>
    </row>
    <row r="9" spans="1:34" ht="18" customHeight="1" x14ac:dyDescent="0.25">
      <c r="B9" s="43" t="str">
        <f>"ACTUAL EXPERIENCE, "&amp;ExperYear</f>
        <v>ACTUAL EXPERIENCE, 2024</v>
      </c>
      <c r="C9" s="43"/>
      <c r="D9" s="19"/>
      <c r="E9" s="19"/>
      <c r="F9" s="19"/>
      <c r="G9" s="19"/>
      <c r="H9" s="19"/>
      <c r="I9" s="19"/>
      <c r="J9" s="19"/>
      <c r="K9" s="19"/>
      <c r="N9" s="43" t="str">
        <f>"PROJECTED (i.e., EXPECTED), "&amp;PlanYear</f>
        <v>PROJECTED (i.e., EXPECTED), 2026</v>
      </c>
      <c r="O9" s="43"/>
      <c r="P9" s="19"/>
      <c r="Q9" s="19"/>
      <c r="R9" s="19"/>
      <c r="S9" s="19"/>
      <c r="T9" s="19"/>
      <c r="U9" s="19"/>
      <c r="V9" s="19"/>
      <c r="W9" s="19"/>
      <c r="Y9" s="43" t="str">
        <f>N9&amp;" versus "&amp;B9</f>
        <v>PROJECTED (i.e., EXPECTED), 2026 versus ACTUAL EXPERIENCE, 2024</v>
      </c>
      <c r="Z9" s="43"/>
      <c r="AA9" s="43"/>
      <c r="AB9" s="43"/>
      <c r="AC9" s="43"/>
      <c r="AD9" s="43"/>
      <c r="AE9" s="43"/>
      <c r="AF9" s="43"/>
      <c r="AG9" s="43"/>
      <c r="AH9" s="43"/>
    </row>
    <row r="10" spans="1:34" ht="15" customHeight="1" x14ac:dyDescent="0.25">
      <c r="B10" s="629" t="s">
        <v>250</v>
      </c>
      <c r="C10" s="602"/>
      <c r="D10" s="19" t="s">
        <v>251</v>
      </c>
      <c r="E10" s="19"/>
      <c r="F10" s="19"/>
      <c r="G10" s="19"/>
      <c r="H10" s="19"/>
      <c r="J10" s="629" t="s">
        <v>252</v>
      </c>
      <c r="K10" s="19" t="s">
        <v>251</v>
      </c>
      <c r="N10" s="629" t="s">
        <v>250</v>
      </c>
      <c r="O10" s="602"/>
      <c r="P10" s="19" t="s">
        <v>251</v>
      </c>
      <c r="Q10" s="19"/>
      <c r="R10" s="19"/>
      <c r="S10" s="19"/>
      <c r="T10" s="19"/>
      <c r="V10" s="629" t="s">
        <v>252</v>
      </c>
      <c r="W10" s="19" t="s">
        <v>251</v>
      </c>
      <c r="Y10" s="629" t="s">
        <v>250</v>
      </c>
      <c r="Z10" s="602"/>
      <c r="AA10" s="19" t="s">
        <v>251</v>
      </c>
      <c r="AB10" s="19"/>
      <c r="AC10" s="19"/>
      <c r="AD10" s="19"/>
      <c r="AE10" s="19"/>
      <c r="AG10" s="629" t="s">
        <v>252</v>
      </c>
      <c r="AH10" s="19" t="s">
        <v>251</v>
      </c>
    </row>
    <row r="11" spans="1:34" ht="15.75" customHeight="1" x14ac:dyDescent="0.25">
      <c r="B11" s="630"/>
      <c r="C11" s="629" t="s">
        <v>253</v>
      </c>
      <c r="D11" s="629" t="s">
        <v>254</v>
      </c>
      <c r="E11" s="629" t="s">
        <v>9</v>
      </c>
      <c r="F11" s="629" t="s">
        <v>8</v>
      </c>
      <c r="G11" s="629" t="s">
        <v>7</v>
      </c>
      <c r="H11" s="629" t="s">
        <v>6</v>
      </c>
      <c r="J11" s="630"/>
      <c r="K11" s="629" t="s">
        <v>255</v>
      </c>
      <c r="N11" s="630"/>
      <c r="O11" s="629" t="s">
        <v>256</v>
      </c>
      <c r="P11" s="629" t="s">
        <v>254</v>
      </c>
      <c r="Q11" s="629" t="s">
        <v>9</v>
      </c>
      <c r="R11" s="629" t="s">
        <v>8</v>
      </c>
      <c r="S11" s="629" t="s">
        <v>7</v>
      </c>
      <c r="T11" s="629" t="s">
        <v>6</v>
      </c>
      <c r="V11" s="630"/>
      <c r="W11" s="629" t="s">
        <v>255</v>
      </c>
      <c r="Y11" s="630"/>
      <c r="Z11" s="629" t="s">
        <v>256</v>
      </c>
      <c r="AA11" s="629" t="s">
        <v>254</v>
      </c>
      <c r="AB11" s="629" t="s">
        <v>9</v>
      </c>
      <c r="AC11" s="629" t="s">
        <v>8</v>
      </c>
      <c r="AD11" s="629" t="s">
        <v>7</v>
      </c>
      <c r="AE11" s="629" t="s">
        <v>6</v>
      </c>
      <c r="AG11" s="630"/>
      <c r="AH11" s="629" t="s">
        <v>255</v>
      </c>
    </row>
    <row r="12" spans="1:34" ht="30" customHeight="1" x14ac:dyDescent="0.25">
      <c r="A12" s="51" t="s">
        <v>65</v>
      </c>
      <c r="B12" s="630"/>
      <c r="C12" s="630"/>
      <c r="D12" s="630"/>
      <c r="E12" s="630"/>
      <c r="F12" s="630"/>
      <c r="G12" s="630"/>
      <c r="H12" s="630"/>
      <c r="J12" s="631"/>
      <c r="K12" s="631"/>
      <c r="M12" s="52" t="s">
        <v>65</v>
      </c>
      <c r="N12" s="630"/>
      <c r="O12" s="630"/>
      <c r="P12" s="630"/>
      <c r="Q12" s="630"/>
      <c r="R12" s="630"/>
      <c r="S12" s="630"/>
      <c r="T12" s="630"/>
      <c r="V12" s="631"/>
      <c r="W12" s="631"/>
      <c r="Y12" s="630"/>
      <c r="Z12" s="630"/>
      <c r="AA12" s="630"/>
      <c r="AB12" s="630"/>
      <c r="AC12" s="630"/>
      <c r="AD12" s="630"/>
      <c r="AE12" s="630"/>
      <c r="AG12" s="631"/>
      <c r="AH12" s="631"/>
    </row>
    <row r="13" spans="1:34" x14ac:dyDescent="0.25">
      <c r="A13" s="53" t="s">
        <v>257</v>
      </c>
      <c r="B13" s="22"/>
      <c r="C13" s="23">
        <f>D13+K13</f>
        <v>0</v>
      </c>
      <c r="D13" s="23">
        <f>SUM(E13:H13)</f>
        <v>0</v>
      </c>
      <c r="E13" s="174">
        <v>0</v>
      </c>
      <c r="F13" s="174">
        <v>0</v>
      </c>
      <c r="G13" s="174">
        <v>0</v>
      </c>
      <c r="H13" s="174">
        <v>0</v>
      </c>
      <c r="J13" s="22"/>
      <c r="K13" s="174">
        <v>0</v>
      </c>
      <c r="M13" s="53" t="s">
        <v>257</v>
      </c>
      <c r="N13" s="22"/>
      <c r="O13" s="23">
        <f>P13+W13</f>
        <v>0</v>
      </c>
      <c r="P13" s="23">
        <f>SUM(Q13:T13)</f>
        <v>0</v>
      </c>
      <c r="Q13" s="174">
        <v>0</v>
      </c>
      <c r="R13" s="174">
        <v>0</v>
      </c>
      <c r="S13" s="174">
        <v>0</v>
      </c>
      <c r="T13" s="174">
        <v>0</v>
      </c>
      <c r="V13" s="22"/>
      <c r="W13" s="174">
        <v>0</v>
      </c>
      <c r="Y13" s="402"/>
      <c r="Z13" s="403" t="str">
        <f>IFERROR(O13/C13,"")</f>
        <v/>
      </c>
      <c r="AA13" s="403" t="str">
        <f>IFERROR(P13/D13,"")</f>
        <v/>
      </c>
      <c r="AB13" s="403" t="str">
        <f t="shared" ref="AB13:AE13" si="0">IFERROR(Q13/E13,"")</f>
        <v/>
      </c>
      <c r="AC13" s="403" t="str">
        <f t="shared" si="0"/>
        <v/>
      </c>
      <c r="AD13" s="403" t="str">
        <f t="shared" si="0"/>
        <v/>
      </c>
      <c r="AE13" s="403" t="str">
        <f t="shared" si="0"/>
        <v/>
      </c>
      <c r="AF13" s="404"/>
      <c r="AG13" s="402"/>
      <c r="AH13" s="403" t="str">
        <f t="shared" ref="AH13:AH18" si="1">IFERROR(W13/K13,"")</f>
        <v/>
      </c>
    </row>
    <row r="14" spans="1:34" x14ac:dyDescent="0.25">
      <c r="A14" s="54" t="s">
        <v>258</v>
      </c>
      <c r="B14" s="170">
        <v>0</v>
      </c>
      <c r="C14" s="49"/>
      <c r="D14" s="220" t="str">
        <f t="shared" ref="D14:D17" si="2">IFERROR(SUMPRODUCT(E14:H14,E$13:H$13)/D$13,"TBD")</f>
        <v>TBD</v>
      </c>
      <c r="E14" s="219">
        <v>0.9</v>
      </c>
      <c r="F14" s="219">
        <v>0.8</v>
      </c>
      <c r="G14" s="219">
        <v>0.7</v>
      </c>
      <c r="H14" s="219">
        <v>0.6</v>
      </c>
      <c r="J14" s="219">
        <v>0.57000000000000006</v>
      </c>
      <c r="K14" s="219">
        <v>0.57000000000000006</v>
      </c>
      <c r="M14" s="54" t="s">
        <v>258</v>
      </c>
      <c r="N14" s="170">
        <v>0</v>
      </c>
      <c r="O14" s="49"/>
      <c r="P14" s="24" t="str">
        <f>IFERROR(SUMPRODUCT(Q14:T14,$Q$13:$T$13)/$P$13,"TBD")</f>
        <v>TBD</v>
      </c>
      <c r="Q14" s="170">
        <v>0.9</v>
      </c>
      <c r="R14" s="170">
        <v>0.8</v>
      </c>
      <c r="S14" s="170">
        <v>0.7</v>
      </c>
      <c r="T14" s="170">
        <v>0.6</v>
      </c>
      <c r="V14" s="170">
        <v>0</v>
      </c>
      <c r="W14" s="170">
        <v>0</v>
      </c>
      <c r="Y14" s="405" t="str">
        <f t="shared" ref="Y14:Y18" si="3">IFERROR(N14/B14,"")</f>
        <v/>
      </c>
      <c r="Z14" s="406"/>
      <c r="AA14" s="405" t="str">
        <f t="shared" ref="AA14:AA18" si="4">IFERROR(P14/D14,"")</f>
        <v/>
      </c>
      <c r="AB14" s="405">
        <f t="shared" ref="AB14:AB18" si="5">IFERROR(Q14/E14,"")</f>
        <v>1</v>
      </c>
      <c r="AC14" s="405">
        <f t="shared" ref="AC14:AC18" si="6">IFERROR(R14/F14,"")</f>
        <v>1</v>
      </c>
      <c r="AD14" s="405">
        <f t="shared" ref="AD14:AD18" si="7">IFERROR(S14/G14,"")</f>
        <v>1</v>
      </c>
      <c r="AE14" s="405">
        <f t="shared" ref="AE14:AE18" si="8">IFERROR(T14/H14,"")</f>
        <v>1</v>
      </c>
      <c r="AF14" s="404"/>
      <c r="AG14" s="405">
        <f t="shared" ref="AG14:AG18" si="9">IFERROR(V14/J14,"")</f>
        <v>0</v>
      </c>
      <c r="AH14" s="405">
        <f t="shared" si="1"/>
        <v>0</v>
      </c>
    </row>
    <row r="15" spans="1:34" x14ac:dyDescent="0.25">
      <c r="A15" s="55" t="s">
        <v>259</v>
      </c>
      <c r="B15" s="171">
        <v>0</v>
      </c>
      <c r="C15" s="49"/>
      <c r="D15" s="25" t="str">
        <f t="shared" si="2"/>
        <v>TBD</v>
      </c>
      <c r="E15" s="171">
        <v>0</v>
      </c>
      <c r="F15" s="171">
        <v>0</v>
      </c>
      <c r="G15" s="171">
        <v>0</v>
      </c>
      <c r="H15" s="171">
        <v>0</v>
      </c>
      <c r="J15" s="171">
        <v>0</v>
      </c>
      <c r="K15" s="171">
        <v>0</v>
      </c>
      <c r="M15" s="55" t="s">
        <v>259</v>
      </c>
      <c r="N15" s="171">
        <v>0</v>
      </c>
      <c r="O15" s="49"/>
      <c r="P15" s="25" t="str">
        <f t="shared" ref="P15:P18" si="10">IFERROR(SUMPRODUCT(Q15:T15,$Q$13:$T$13)/$P$13,"TBD")</f>
        <v>TBD</v>
      </c>
      <c r="Q15" s="171">
        <v>0</v>
      </c>
      <c r="R15" s="171">
        <v>0</v>
      </c>
      <c r="S15" s="171">
        <v>0</v>
      </c>
      <c r="T15" s="171">
        <v>0</v>
      </c>
      <c r="V15" s="171">
        <v>0</v>
      </c>
      <c r="W15" s="171">
        <v>0</v>
      </c>
      <c r="Y15" s="407" t="str">
        <f t="shared" si="3"/>
        <v/>
      </c>
      <c r="Z15" s="406"/>
      <c r="AA15" s="407" t="str">
        <f t="shared" si="4"/>
        <v/>
      </c>
      <c r="AB15" s="407" t="str">
        <f t="shared" si="5"/>
        <v/>
      </c>
      <c r="AC15" s="407" t="str">
        <f t="shared" si="6"/>
        <v/>
      </c>
      <c r="AD15" s="407" t="str">
        <f t="shared" si="7"/>
        <v/>
      </c>
      <c r="AE15" s="407" t="str">
        <f t="shared" si="8"/>
        <v/>
      </c>
      <c r="AF15" s="404"/>
      <c r="AG15" s="407" t="str">
        <f t="shared" si="9"/>
        <v/>
      </c>
      <c r="AH15" s="407" t="str">
        <f t="shared" si="1"/>
        <v/>
      </c>
    </row>
    <row r="16" spans="1:34" x14ac:dyDescent="0.25">
      <c r="A16" s="55" t="s">
        <v>260</v>
      </c>
      <c r="B16" s="171">
        <v>0</v>
      </c>
      <c r="C16" s="49"/>
      <c r="D16" s="25" t="str">
        <f t="shared" si="2"/>
        <v>TBD</v>
      </c>
      <c r="E16" s="171">
        <v>0</v>
      </c>
      <c r="F16" s="171">
        <v>0</v>
      </c>
      <c r="G16" s="171">
        <v>0</v>
      </c>
      <c r="H16" s="171">
        <v>0</v>
      </c>
      <c r="J16" s="171">
        <v>0</v>
      </c>
      <c r="K16" s="171">
        <v>0</v>
      </c>
      <c r="M16" s="55" t="s">
        <v>260</v>
      </c>
      <c r="N16" s="171">
        <v>0</v>
      </c>
      <c r="O16" s="49"/>
      <c r="P16" s="25" t="str">
        <f t="shared" si="10"/>
        <v>TBD</v>
      </c>
      <c r="Q16" s="171">
        <v>0</v>
      </c>
      <c r="R16" s="171">
        <v>0</v>
      </c>
      <c r="S16" s="171">
        <v>0</v>
      </c>
      <c r="T16" s="171">
        <v>0</v>
      </c>
      <c r="V16" s="171">
        <v>0</v>
      </c>
      <c r="W16" s="171">
        <v>0</v>
      </c>
      <c r="Y16" s="407" t="str">
        <f t="shared" si="3"/>
        <v/>
      </c>
      <c r="Z16" s="406"/>
      <c r="AA16" s="407" t="str">
        <f t="shared" si="4"/>
        <v/>
      </c>
      <c r="AB16" s="407" t="str">
        <f t="shared" si="5"/>
        <v/>
      </c>
      <c r="AC16" s="407" t="str">
        <f t="shared" si="6"/>
        <v/>
      </c>
      <c r="AD16" s="407" t="str">
        <f t="shared" si="7"/>
        <v/>
      </c>
      <c r="AE16" s="407" t="str">
        <f t="shared" si="8"/>
        <v/>
      </c>
      <c r="AF16" s="404"/>
      <c r="AG16" s="407" t="str">
        <f t="shared" si="9"/>
        <v/>
      </c>
      <c r="AH16" s="407" t="str">
        <f t="shared" si="1"/>
        <v/>
      </c>
    </row>
    <row r="17" spans="1:34" x14ac:dyDescent="0.25">
      <c r="A17" s="55" t="s">
        <v>4</v>
      </c>
      <c r="B17" s="171">
        <v>0</v>
      </c>
      <c r="C17" s="49"/>
      <c r="D17" s="25" t="str">
        <f t="shared" si="2"/>
        <v>TBD</v>
      </c>
      <c r="E17" s="171">
        <v>0</v>
      </c>
      <c r="F17" s="171">
        <v>0</v>
      </c>
      <c r="G17" s="171">
        <v>0</v>
      </c>
      <c r="H17" s="171">
        <v>0</v>
      </c>
      <c r="J17" s="171">
        <v>0</v>
      </c>
      <c r="K17" s="171">
        <v>0</v>
      </c>
      <c r="M17" s="55" t="s">
        <v>4</v>
      </c>
      <c r="N17" s="171">
        <v>0</v>
      </c>
      <c r="O17" s="49"/>
      <c r="P17" s="25" t="str">
        <f t="shared" si="10"/>
        <v>TBD</v>
      </c>
      <c r="Q17" s="171">
        <v>0</v>
      </c>
      <c r="R17" s="171">
        <v>0</v>
      </c>
      <c r="S17" s="171">
        <v>0</v>
      </c>
      <c r="T17" s="171">
        <v>0</v>
      </c>
      <c r="V17" s="171">
        <v>0</v>
      </c>
      <c r="W17" s="171">
        <v>0</v>
      </c>
      <c r="Y17" s="407" t="str">
        <f t="shared" si="3"/>
        <v/>
      </c>
      <c r="Z17" s="406"/>
      <c r="AA17" s="407" t="str">
        <f t="shared" si="4"/>
        <v/>
      </c>
      <c r="AB17" s="407" t="str">
        <f t="shared" si="5"/>
        <v/>
      </c>
      <c r="AC17" s="407" t="str">
        <f t="shared" si="6"/>
        <v/>
      </c>
      <c r="AD17" s="407" t="str">
        <f t="shared" si="7"/>
        <v/>
      </c>
      <c r="AE17" s="407" t="str">
        <f t="shared" si="8"/>
        <v/>
      </c>
      <c r="AF17" s="404"/>
      <c r="AG17" s="407" t="str">
        <f t="shared" si="9"/>
        <v/>
      </c>
      <c r="AH17" s="407" t="str">
        <f t="shared" si="1"/>
        <v/>
      </c>
    </row>
    <row r="18" spans="1:34" x14ac:dyDescent="0.25">
      <c r="A18" s="56" t="s">
        <v>261</v>
      </c>
      <c r="B18" s="172">
        <v>0</v>
      </c>
      <c r="C18" s="27"/>
      <c r="D18" s="26" t="str">
        <f>IFERROR(SUMPRODUCT(E18:H18,E$13:H$13)/D$13,"TBD")</f>
        <v>TBD</v>
      </c>
      <c r="E18" s="172">
        <v>0</v>
      </c>
      <c r="F18" s="172">
        <v>0</v>
      </c>
      <c r="G18" s="172">
        <v>0</v>
      </c>
      <c r="H18" s="172">
        <v>0</v>
      </c>
      <c r="J18" s="172">
        <v>0</v>
      </c>
      <c r="K18" s="172">
        <v>0</v>
      </c>
      <c r="M18" s="56" t="s">
        <v>261</v>
      </c>
      <c r="N18" s="172">
        <v>0</v>
      </c>
      <c r="O18" s="27"/>
      <c r="P18" s="26" t="str">
        <f t="shared" si="10"/>
        <v>TBD</v>
      </c>
      <c r="Q18" s="172">
        <v>0</v>
      </c>
      <c r="R18" s="172">
        <v>0</v>
      </c>
      <c r="S18" s="172">
        <v>0</v>
      </c>
      <c r="T18" s="172">
        <v>0</v>
      </c>
      <c r="V18" s="172">
        <v>0</v>
      </c>
      <c r="W18" s="172">
        <v>0</v>
      </c>
      <c r="Y18" s="408" t="str">
        <f t="shared" si="3"/>
        <v/>
      </c>
      <c r="Z18" s="409"/>
      <c r="AA18" s="408" t="str">
        <f t="shared" si="4"/>
        <v/>
      </c>
      <c r="AB18" s="408" t="str">
        <f t="shared" si="5"/>
        <v/>
      </c>
      <c r="AC18" s="408" t="str">
        <f t="shared" si="6"/>
        <v/>
      </c>
      <c r="AD18" s="408" t="str">
        <f t="shared" si="7"/>
        <v/>
      </c>
      <c r="AE18" s="408" t="str">
        <f t="shared" si="8"/>
        <v/>
      </c>
      <c r="AF18" s="404"/>
      <c r="AG18" s="408" t="str">
        <f t="shared" si="9"/>
        <v/>
      </c>
      <c r="AH18" s="408" t="str">
        <f t="shared" si="1"/>
        <v/>
      </c>
    </row>
    <row r="19" spans="1:34" x14ac:dyDescent="0.25">
      <c r="A19" s="58"/>
      <c r="B19" s="49"/>
      <c r="C19" s="49"/>
      <c r="D19" s="49"/>
      <c r="E19" s="49"/>
      <c r="F19" s="49"/>
      <c r="G19" s="49"/>
      <c r="H19" s="49"/>
      <c r="J19" s="49"/>
      <c r="K19" s="49"/>
      <c r="M19" s="55" t="s">
        <v>262</v>
      </c>
      <c r="N19" s="49"/>
      <c r="O19" s="49"/>
      <c r="P19" s="49"/>
      <c r="Q19" s="49"/>
      <c r="R19" s="49"/>
      <c r="S19" s="49"/>
      <c r="T19" s="49"/>
      <c r="V19" s="49"/>
      <c r="W19" s="49"/>
      <c r="Y19" s="406"/>
      <c r="Z19" s="406"/>
      <c r="AA19" s="406"/>
      <c r="AB19" s="406"/>
      <c r="AC19" s="406"/>
      <c r="AD19" s="406"/>
      <c r="AE19" s="406"/>
      <c r="AF19" s="404"/>
      <c r="AG19" s="406"/>
      <c r="AH19" s="406"/>
    </row>
    <row r="20" spans="1:34" x14ac:dyDescent="0.25">
      <c r="A20" s="58"/>
      <c r="B20" s="49"/>
      <c r="C20" s="49"/>
      <c r="D20" s="49"/>
      <c r="E20" s="49"/>
      <c r="F20" s="49"/>
      <c r="G20" s="49"/>
      <c r="H20" s="49"/>
      <c r="J20" s="49"/>
      <c r="K20" s="49"/>
      <c r="M20" s="55" t="s">
        <v>263</v>
      </c>
      <c r="N20" s="224">
        <f>B23</f>
        <v>0</v>
      </c>
      <c r="O20" s="49"/>
      <c r="P20" s="49"/>
      <c r="Q20" s="49"/>
      <c r="R20" s="49"/>
      <c r="S20" s="49"/>
      <c r="T20" s="49"/>
      <c r="V20" s="221">
        <f>J23</f>
        <v>0</v>
      </c>
      <c r="W20" s="49"/>
      <c r="Y20" s="406"/>
      <c r="Z20" s="406"/>
      <c r="AA20" s="406"/>
      <c r="AB20" s="406"/>
      <c r="AC20" s="406"/>
      <c r="AD20" s="406"/>
      <c r="AE20" s="406"/>
      <c r="AF20" s="404"/>
      <c r="AG20" s="406"/>
      <c r="AH20" s="406"/>
    </row>
    <row r="21" spans="1:34" x14ac:dyDescent="0.25">
      <c r="A21" s="58"/>
      <c r="B21" s="49"/>
      <c r="C21" s="49"/>
      <c r="D21" s="49"/>
      <c r="E21" s="49"/>
      <c r="F21" s="49"/>
      <c r="G21" s="49"/>
      <c r="H21" s="49"/>
      <c r="J21" s="49"/>
      <c r="K21" s="49"/>
      <c r="M21" s="55" t="str">
        <f>"Trend from "&amp;RIGHT(B9,4)&amp;" to "&amp;RIGHT(B9,4)+1</f>
        <v>Trend from 2024 to 2025</v>
      </c>
      <c r="N21" s="178">
        <v>0</v>
      </c>
      <c r="O21" s="49"/>
      <c r="P21" s="49"/>
      <c r="Q21" s="49"/>
      <c r="R21" s="49"/>
      <c r="S21" s="49"/>
      <c r="T21" s="49"/>
      <c r="V21" s="178">
        <v>0</v>
      </c>
      <c r="W21" s="49"/>
      <c r="Y21" s="406"/>
      <c r="Z21" s="406"/>
      <c r="AA21" s="406"/>
      <c r="AB21" s="406"/>
      <c r="AC21" s="406"/>
      <c r="AD21" s="406"/>
      <c r="AE21" s="406"/>
      <c r="AF21" s="404"/>
      <c r="AG21" s="406"/>
      <c r="AH21" s="406"/>
    </row>
    <row r="22" spans="1:34" x14ac:dyDescent="0.25">
      <c r="A22" s="58"/>
      <c r="B22" s="49"/>
      <c r="C22" s="49"/>
      <c r="D22" s="49"/>
      <c r="E22" s="49"/>
      <c r="F22" s="49"/>
      <c r="G22" s="49"/>
      <c r="H22" s="49"/>
      <c r="J22" s="49"/>
      <c r="K22" s="49"/>
      <c r="M22" s="55" t="str">
        <f>"Trend from "&amp;RIGHT(B9,4)+1&amp;" to "&amp;RIGHT(B9,4)+2</f>
        <v>Trend from 2025 to 2026</v>
      </c>
      <c r="N22" s="178">
        <v>0</v>
      </c>
      <c r="O22" s="49"/>
      <c r="P22" s="49"/>
      <c r="Q22" s="49"/>
      <c r="R22" s="49"/>
      <c r="S22" s="49"/>
      <c r="T22" s="49"/>
      <c r="V22" s="178">
        <v>0</v>
      </c>
      <c r="W22" s="49"/>
      <c r="Y22" s="406"/>
      <c r="Z22" s="406"/>
      <c r="AA22" s="406"/>
      <c r="AB22" s="406"/>
      <c r="AC22" s="406"/>
      <c r="AD22" s="406"/>
      <c r="AE22" s="406"/>
      <c r="AF22" s="404"/>
      <c r="AG22" s="406"/>
      <c r="AH22" s="406"/>
    </row>
    <row r="23" spans="1:34" x14ac:dyDescent="0.25">
      <c r="A23" s="56" t="s">
        <v>264</v>
      </c>
      <c r="B23" s="173">
        <v>0</v>
      </c>
      <c r="C23" s="27"/>
      <c r="D23" s="27"/>
      <c r="E23" s="27"/>
      <c r="F23" s="27"/>
      <c r="G23" s="27"/>
      <c r="H23" s="27"/>
      <c r="J23" s="173">
        <v>0</v>
      </c>
      <c r="K23" s="27"/>
      <c r="M23" s="56" t="s">
        <v>264</v>
      </c>
      <c r="N23" s="223">
        <f>N20*(1+N21)*(1+N22)</f>
        <v>0</v>
      </c>
      <c r="O23" s="27"/>
      <c r="P23" s="27"/>
      <c r="Q23" s="27"/>
      <c r="R23" s="27"/>
      <c r="S23" s="27"/>
      <c r="T23" s="27"/>
      <c r="V23" s="222">
        <f>V20*(1+V21)*(1+V22)</f>
        <v>0</v>
      </c>
      <c r="W23" s="27"/>
      <c r="Y23" s="408" t="str">
        <f t="shared" ref="Y23:Y26" si="11">IFERROR(N23/B23,"")</f>
        <v/>
      </c>
      <c r="Z23" s="409"/>
      <c r="AA23" s="409"/>
      <c r="AB23" s="409"/>
      <c r="AC23" s="409"/>
      <c r="AD23" s="409"/>
      <c r="AE23" s="409"/>
      <c r="AF23" s="404"/>
      <c r="AG23" s="408" t="str">
        <f t="shared" ref="AG23:AG24" si="12">IFERROR(V23/J23,"")</f>
        <v/>
      </c>
      <c r="AH23" s="409"/>
    </row>
    <row r="24" spans="1:34" x14ac:dyDescent="0.25">
      <c r="A24" s="54" t="s">
        <v>265</v>
      </c>
      <c r="B24" s="28">
        <f>IFERROR(B15*B17*B18,"TBD")</f>
        <v>0</v>
      </c>
      <c r="C24" s="30"/>
      <c r="D24" s="28" t="str">
        <f>IFERROR(D15*D17*D18,"TBD")</f>
        <v>TBD</v>
      </c>
      <c r="E24" s="28">
        <f>IFERROR(E15*E17*E18,"TBD")</f>
        <v>0</v>
      </c>
      <c r="F24" s="28">
        <f>IFERROR(F15*F17*F18,"TBD")</f>
        <v>0</v>
      </c>
      <c r="G24" s="28">
        <f>IFERROR(G15*G17*G18,"TBD")</f>
        <v>0</v>
      </c>
      <c r="H24" s="28">
        <f>IFERROR(H15*H17*H18,"TBD")</f>
        <v>0</v>
      </c>
      <c r="J24" s="28">
        <f>IFERROR(J15*J17*J18,"TBD")</f>
        <v>0</v>
      </c>
      <c r="K24" s="28">
        <f>IFERROR(K15*K17*K18,"TBD")</f>
        <v>0</v>
      </c>
      <c r="M24" s="54" t="s">
        <v>265</v>
      </c>
      <c r="N24" s="28">
        <f>IFERROR(N15*N17*N18,"TBD")</f>
        <v>0</v>
      </c>
      <c r="O24" s="30"/>
      <c r="P24" s="28" t="str">
        <f>IFERROR(P15*P17*P18,"TBD")</f>
        <v>TBD</v>
      </c>
      <c r="Q24" s="28">
        <f>IFERROR(Q15*Q17*Q18,"TBD")</f>
        <v>0</v>
      </c>
      <c r="R24" s="28">
        <f>IFERROR(R15*R17*R18,"TBD")</f>
        <v>0</v>
      </c>
      <c r="S24" s="28">
        <f>IFERROR(S15*S17*S18,"TBD")</f>
        <v>0</v>
      </c>
      <c r="T24" s="28">
        <f>IFERROR(T15*T17*T18,"TBD")</f>
        <v>0</v>
      </c>
      <c r="V24" s="28">
        <f>IFERROR(V15*V17*V18,"TBD")</f>
        <v>0</v>
      </c>
      <c r="W24" s="28">
        <f>IFERROR(W15*W17*W18,"TBD")</f>
        <v>0</v>
      </c>
      <c r="Y24" s="410" t="str">
        <f t="shared" si="11"/>
        <v/>
      </c>
      <c r="Z24" s="411"/>
      <c r="AA24" s="410" t="str">
        <f t="shared" ref="AA24:AA25" si="13">IFERROR(P24/D24,"")</f>
        <v/>
      </c>
      <c r="AB24" s="410" t="str">
        <f t="shared" ref="AB24:AB31" si="14">IFERROR(Q24/E24,"")</f>
        <v/>
      </c>
      <c r="AC24" s="410" t="str">
        <f t="shared" ref="AC24:AC31" si="15">IFERROR(R24/F24,"")</f>
        <v/>
      </c>
      <c r="AD24" s="410" t="str">
        <f t="shared" ref="AD24:AD31" si="16">IFERROR(S24/G24,"")</f>
        <v/>
      </c>
      <c r="AE24" s="410" t="str">
        <f t="shared" ref="AE24:AE31" si="17">IFERROR(T24/H24,"")</f>
        <v/>
      </c>
      <c r="AF24" s="404"/>
      <c r="AG24" s="410" t="str">
        <f t="shared" si="12"/>
        <v/>
      </c>
      <c r="AH24" s="410" t="str">
        <f t="shared" ref="AG24:AH38" si="18">IFERROR(W24/K24,"")</f>
        <v/>
      </c>
    </row>
    <row r="25" spans="1:34" x14ac:dyDescent="0.25">
      <c r="A25" s="56" t="s">
        <v>266</v>
      </c>
      <c r="B25" s="27"/>
      <c r="C25" s="31"/>
      <c r="D25" s="29" t="str">
        <f>IFERROR(D24/$B24,"TBD")</f>
        <v>TBD</v>
      </c>
      <c r="E25" s="29" t="str">
        <f>IFERROR(E24/$B24,"TBD")</f>
        <v>TBD</v>
      </c>
      <c r="F25" s="29" t="str">
        <f>IFERROR(F24/$B24,"TBD")</f>
        <v>TBD</v>
      </c>
      <c r="G25" s="29" t="str">
        <f>IFERROR(G24/$B24,"TBD")</f>
        <v>TBD</v>
      </c>
      <c r="H25" s="29" t="str">
        <f>IFERROR(H24/$B24,"TBD")</f>
        <v>TBD</v>
      </c>
      <c r="J25" s="27"/>
      <c r="K25" s="29" t="str">
        <f>IFERROR(K24/$J24,"TBD")</f>
        <v>TBD</v>
      </c>
      <c r="M25" s="56" t="s">
        <v>266</v>
      </c>
      <c r="N25" s="27"/>
      <c r="O25" s="31"/>
      <c r="P25" s="29" t="str">
        <f>IFERROR(P24/$N24,"TBD")</f>
        <v>TBD</v>
      </c>
      <c r="Q25" s="29" t="str">
        <f>IFERROR(Q24/$N24,"TBD")</f>
        <v>TBD</v>
      </c>
      <c r="R25" s="29" t="str">
        <f>IFERROR(R24/$N24,"TBD")</f>
        <v>TBD</v>
      </c>
      <c r="S25" s="29" t="str">
        <f>IFERROR(S24/$N24,"TBD")</f>
        <v>TBD</v>
      </c>
      <c r="T25" s="29" t="str">
        <f>IFERROR(T24/$N24,"TBD")</f>
        <v>TBD</v>
      </c>
      <c r="V25" s="27"/>
      <c r="W25" s="29" t="str">
        <f>IFERROR(W24/$V24,"TBD")</f>
        <v>TBD</v>
      </c>
      <c r="Y25" s="409"/>
      <c r="Z25" s="409"/>
      <c r="AA25" s="412" t="str">
        <f t="shared" si="13"/>
        <v/>
      </c>
      <c r="AB25" s="412" t="str">
        <f t="shared" si="14"/>
        <v/>
      </c>
      <c r="AC25" s="412" t="str">
        <f t="shared" si="15"/>
        <v/>
      </c>
      <c r="AD25" s="412" t="str">
        <f t="shared" si="16"/>
        <v/>
      </c>
      <c r="AE25" s="412" t="str">
        <f t="shared" si="17"/>
        <v/>
      </c>
      <c r="AF25" s="404"/>
      <c r="AG25" s="409"/>
      <c r="AH25" s="412" t="str">
        <f t="shared" si="18"/>
        <v/>
      </c>
    </row>
    <row r="26" spans="1:34" x14ac:dyDescent="0.25">
      <c r="A26" s="54" t="s">
        <v>267</v>
      </c>
      <c r="B26" s="28">
        <f>IFERROR(B14*B16*B17*B18,"TBD")</f>
        <v>0</v>
      </c>
      <c r="C26" s="30"/>
      <c r="D26" s="28" t="str">
        <f>IFERROR(D14*D16*D17*D18,"TBD")</f>
        <v>TBD</v>
      </c>
      <c r="E26" s="28">
        <f>IFERROR(E14*E16*E17*E18,"TBD")</f>
        <v>0</v>
      </c>
      <c r="F26" s="28">
        <f>IFERROR(F14*F16*F17*F18,"TBD")</f>
        <v>0</v>
      </c>
      <c r="G26" s="28">
        <f>IFERROR(G14*G16*G17*G18,"TBD")</f>
        <v>0</v>
      </c>
      <c r="H26" s="28">
        <f>IFERROR(H14*H16*H17*H18,"TBD")</f>
        <v>0</v>
      </c>
      <c r="J26" s="28">
        <f>IFERROR(J14*J16*J17*J18,"TBD")</f>
        <v>0</v>
      </c>
      <c r="K26" s="28">
        <f>IFERROR(K14*K16*K17*K18,"TBD")</f>
        <v>0</v>
      </c>
      <c r="M26" s="54" t="s">
        <v>267</v>
      </c>
      <c r="N26" s="28">
        <f>IFERROR(N14*N16*N17*N18,"TBD")</f>
        <v>0</v>
      </c>
      <c r="O26" s="30"/>
      <c r="P26" s="28" t="str">
        <f>IFERROR(P14*P16*P17*P18,"TBD")</f>
        <v>TBD</v>
      </c>
      <c r="Q26" s="28">
        <f>IFERROR(Q14*Q16*Q17*Q18,"TBD")</f>
        <v>0</v>
      </c>
      <c r="R26" s="28">
        <f>IFERROR(R14*R16*R17*R18,"TBD")</f>
        <v>0</v>
      </c>
      <c r="S26" s="28">
        <f>IFERROR(S14*S16*S17*S18,"TBD")</f>
        <v>0</v>
      </c>
      <c r="T26" s="28">
        <f>IFERROR(T14*T16*T17*T18,"TBD")</f>
        <v>0</v>
      </c>
      <c r="V26" s="28">
        <f>IFERROR(V14*V16*V17*V18,"TBD")</f>
        <v>0</v>
      </c>
      <c r="W26" s="28">
        <f>IFERROR(W14*W16*W17*W18,"TBD")</f>
        <v>0</v>
      </c>
      <c r="Y26" s="410" t="str">
        <f t="shared" si="11"/>
        <v/>
      </c>
      <c r="Z26" s="411"/>
      <c r="AA26" s="410" t="str">
        <f t="shared" ref="Z26:AA31" si="19">IFERROR(P26/D26,"")</f>
        <v/>
      </c>
      <c r="AB26" s="410" t="str">
        <f t="shared" si="14"/>
        <v/>
      </c>
      <c r="AC26" s="410" t="str">
        <f t="shared" si="15"/>
        <v/>
      </c>
      <c r="AD26" s="410" t="str">
        <f t="shared" si="16"/>
        <v/>
      </c>
      <c r="AE26" s="410" t="str">
        <f t="shared" si="17"/>
        <v/>
      </c>
      <c r="AF26" s="404"/>
      <c r="AG26" s="410" t="str">
        <f t="shared" si="18"/>
        <v/>
      </c>
      <c r="AH26" s="410" t="str">
        <f t="shared" si="18"/>
        <v/>
      </c>
    </row>
    <row r="27" spans="1:34" x14ac:dyDescent="0.25">
      <c r="A27" s="56" t="s">
        <v>268</v>
      </c>
      <c r="B27" s="27"/>
      <c r="C27" s="31"/>
      <c r="D27" s="29" t="str">
        <f>IFERROR(D26/$B26,"TBD")</f>
        <v>TBD</v>
      </c>
      <c r="E27" s="29" t="str">
        <f>IFERROR(E26/$B26,"TBD")</f>
        <v>TBD</v>
      </c>
      <c r="F27" s="29" t="str">
        <f>IFERROR(F26/$B26,"TBD")</f>
        <v>TBD</v>
      </c>
      <c r="G27" s="29" t="str">
        <f>IFERROR(G26/$B26,"TBD")</f>
        <v>TBD</v>
      </c>
      <c r="H27" s="29" t="str">
        <f>IFERROR(H26/$B26,"TBD")</f>
        <v>TBD</v>
      </c>
      <c r="J27" s="27"/>
      <c r="K27" s="29" t="str">
        <f>IFERROR(K26/$J26,"TBD")</f>
        <v>TBD</v>
      </c>
      <c r="M27" s="56" t="s">
        <v>268</v>
      </c>
      <c r="N27" s="27"/>
      <c r="O27" s="31"/>
      <c r="P27" s="29" t="str">
        <f>IFERROR(P26/$N26,"TBD")</f>
        <v>TBD</v>
      </c>
      <c r="Q27" s="29" t="str">
        <f>IFERROR(Q26/$N26,"TBD")</f>
        <v>TBD</v>
      </c>
      <c r="R27" s="29" t="str">
        <f>IFERROR(R26/$N26,"TBD")</f>
        <v>TBD</v>
      </c>
      <c r="S27" s="29" t="str">
        <f>IFERROR(S26/$N26,"TBD")</f>
        <v>TBD</v>
      </c>
      <c r="T27" s="29" t="str">
        <f>IFERROR(T26/$N26,"TBD")</f>
        <v>TBD</v>
      </c>
      <c r="V27" s="27"/>
      <c r="W27" s="29" t="str">
        <f>IFERROR(W26/$V26,"TBD")</f>
        <v>TBD</v>
      </c>
      <c r="Y27" s="409"/>
      <c r="Z27" s="409"/>
      <c r="AA27" s="412" t="str">
        <f t="shared" si="19"/>
        <v/>
      </c>
      <c r="AB27" s="412" t="str">
        <f t="shared" si="14"/>
        <v/>
      </c>
      <c r="AC27" s="412" t="str">
        <f t="shared" si="15"/>
        <v/>
      </c>
      <c r="AD27" s="412" t="str">
        <f t="shared" si="16"/>
        <v/>
      </c>
      <c r="AE27" s="412" t="str">
        <f t="shared" si="17"/>
        <v/>
      </c>
      <c r="AF27" s="404"/>
      <c r="AG27" s="409"/>
      <c r="AH27" s="412" t="str">
        <f t="shared" si="18"/>
        <v/>
      </c>
    </row>
    <row r="28" spans="1:34" x14ac:dyDescent="0.25">
      <c r="A28" s="54" t="s">
        <v>269</v>
      </c>
      <c r="B28" s="30"/>
      <c r="C28" s="30"/>
      <c r="D28" s="37" t="str">
        <f>IFERROR((D25-D27)*$B$23*0.86,"TBD")</f>
        <v>TBD</v>
      </c>
      <c r="E28" s="35" t="str">
        <f>IFERROR((E25-E27)*$B$23*0.86,"TBD")</f>
        <v>TBD</v>
      </c>
      <c r="F28" s="35" t="str">
        <f>IFERROR((F25-F27)*$B$23*0.86,"TBD")</f>
        <v>TBD</v>
      </c>
      <c r="G28" s="35" t="str">
        <f>IFERROR((G25-G27)*$B$23*0.86,"TBD")</f>
        <v>TBD</v>
      </c>
      <c r="H28" s="35" t="str">
        <f>IFERROR((H25-H27)*$B$23*0.86,"TBD")</f>
        <v>TBD</v>
      </c>
      <c r="J28" s="30"/>
      <c r="K28" s="35" t="str">
        <f>IFERROR((K25-K27)*$J$23*0.86,"TBD")</f>
        <v>TBD</v>
      </c>
      <c r="M28" s="54" t="s">
        <v>269</v>
      </c>
      <c r="N28" s="30"/>
      <c r="O28" s="30"/>
      <c r="P28" s="37" t="str">
        <f>IFERROR((P25-P27)*$N$23*0.86,"TBD")</f>
        <v>TBD</v>
      </c>
      <c r="Q28" s="35" t="str">
        <f>IFERROR((Q25-Q27)*$N$23*0.86,"TBD")</f>
        <v>TBD</v>
      </c>
      <c r="R28" s="35" t="str">
        <f>IFERROR((R25-R27)*$N$23*0.86,"TBD")</f>
        <v>TBD</v>
      </c>
      <c r="S28" s="35" t="str">
        <f>IFERROR((S25-S27)*$N$23*0.86,"TBD")</f>
        <v>TBD</v>
      </c>
      <c r="T28" s="35" t="str">
        <f>IFERROR((T25-T27)*$N$23*0.86,"TBD")</f>
        <v>TBD</v>
      </c>
      <c r="V28" s="30"/>
      <c r="W28" s="35" t="str">
        <f>IFERROR((W25-W27)*$V$23*0.86,"TBD")</f>
        <v>TBD</v>
      </c>
      <c r="Y28" s="411"/>
      <c r="Z28" s="411"/>
      <c r="AA28" s="413" t="str">
        <f t="shared" si="19"/>
        <v/>
      </c>
      <c r="AB28" s="410" t="str">
        <f t="shared" si="14"/>
        <v/>
      </c>
      <c r="AC28" s="410" t="str">
        <f t="shared" si="15"/>
        <v/>
      </c>
      <c r="AD28" s="410" t="str">
        <f t="shared" si="16"/>
        <v/>
      </c>
      <c r="AE28" s="410" t="str">
        <f t="shared" si="17"/>
        <v/>
      </c>
      <c r="AF28" s="404"/>
      <c r="AG28" s="411"/>
      <c r="AH28" s="410" t="str">
        <f t="shared" si="18"/>
        <v/>
      </c>
    </row>
    <row r="29" spans="1:34" x14ac:dyDescent="0.25">
      <c r="A29" s="56" t="s">
        <v>270</v>
      </c>
      <c r="B29" s="31"/>
      <c r="C29" s="31"/>
      <c r="D29" s="38" t="str">
        <f>IFERROR(D28*D13,"TBD")</f>
        <v>TBD</v>
      </c>
      <c r="E29" s="36" t="str">
        <f>IFERROR(E28*E13,"TBD")</f>
        <v>TBD</v>
      </c>
      <c r="F29" s="36" t="str">
        <f>IFERROR(F28*F13,"TBD")</f>
        <v>TBD</v>
      </c>
      <c r="G29" s="36" t="str">
        <f>IFERROR(G28*G13,"TBD")</f>
        <v>TBD</v>
      </c>
      <c r="H29" s="36" t="str">
        <f>IFERROR(H28*H13,"TBD")</f>
        <v>TBD</v>
      </c>
      <c r="J29" s="31"/>
      <c r="K29" s="36" t="str">
        <f>IFERROR(K28*K13,"TBD")</f>
        <v>TBD</v>
      </c>
      <c r="M29" s="56" t="s">
        <v>270</v>
      </c>
      <c r="N29" s="31"/>
      <c r="O29" s="31"/>
      <c r="P29" s="38" t="str">
        <f>IFERROR(P28*P13,"TBD")</f>
        <v>TBD</v>
      </c>
      <c r="Q29" s="36" t="str">
        <f>IFERROR(Q28*Q13,"TBD")</f>
        <v>TBD</v>
      </c>
      <c r="R29" s="36" t="str">
        <f>IFERROR(R28*R13,"TBD")</f>
        <v>TBD</v>
      </c>
      <c r="S29" s="36" t="str">
        <f>IFERROR(S28*S13,"TBD")</f>
        <v>TBD</v>
      </c>
      <c r="T29" s="36" t="str">
        <f>IFERROR(T28*T13,"TBD")</f>
        <v>TBD</v>
      </c>
      <c r="V29" s="31"/>
      <c r="W29" s="36" t="str">
        <f>IFERROR(W28*W13,"TBD")</f>
        <v>TBD</v>
      </c>
      <c r="Y29" s="409"/>
      <c r="Z29" s="409"/>
      <c r="AA29" s="414" t="str">
        <f t="shared" si="19"/>
        <v/>
      </c>
      <c r="AB29" s="412" t="str">
        <f t="shared" si="14"/>
        <v/>
      </c>
      <c r="AC29" s="412" t="str">
        <f t="shared" si="15"/>
        <v/>
      </c>
      <c r="AD29" s="412" t="str">
        <f t="shared" si="16"/>
        <v/>
      </c>
      <c r="AE29" s="412" t="str">
        <f t="shared" si="17"/>
        <v/>
      </c>
      <c r="AF29" s="404"/>
      <c r="AG29" s="409"/>
      <c r="AH29" s="412" t="str">
        <f t="shared" si="18"/>
        <v/>
      </c>
    </row>
    <row r="30" spans="1:34" x14ac:dyDescent="0.25">
      <c r="A30" s="54" t="s">
        <v>271</v>
      </c>
      <c r="B30" s="30"/>
      <c r="C30" s="594" t="str">
        <f>IFERROR((D30*D13+K30*K13)/C13,"TBD")</f>
        <v>TBD</v>
      </c>
      <c r="D30" s="47" t="str">
        <f>IFERROR(SUMPRODUCT(E30:H30,E$13:H$13)/D$13,"TBD")</f>
        <v>TBD</v>
      </c>
      <c r="E30" s="175">
        <v>0</v>
      </c>
      <c r="F30" s="175">
        <v>0</v>
      </c>
      <c r="G30" s="175">
        <v>0</v>
      </c>
      <c r="H30" s="175">
        <v>0</v>
      </c>
      <c r="J30" s="30"/>
      <c r="K30" s="175">
        <v>0</v>
      </c>
      <c r="M30" s="54" t="s">
        <v>272</v>
      </c>
      <c r="N30" s="30"/>
      <c r="O30" s="594" t="str">
        <f>IFERROR((P30*P13+W30*W13)/O13,"TBD")</f>
        <v>TBD</v>
      </c>
      <c r="P30" s="47" t="str">
        <f>IFERROR(SUMPRODUCT(Q30:T30,Q$13:T$13)/P$13,"TBD")</f>
        <v>TBD</v>
      </c>
      <c r="Q30" s="175">
        <v>0</v>
      </c>
      <c r="R30" s="175">
        <v>0</v>
      </c>
      <c r="S30" s="175">
        <v>0</v>
      </c>
      <c r="T30" s="175">
        <v>0</v>
      </c>
      <c r="V30" s="30"/>
      <c r="W30" s="175">
        <v>0</v>
      </c>
      <c r="Y30" s="411"/>
      <c r="Z30" s="410" t="str">
        <f t="shared" si="19"/>
        <v/>
      </c>
      <c r="AA30" s="410" t="str">
        <f t="shared" si="19"/>
        <v/>
      </c>
      <c r="AB30" s="410" t="str">
        <f t="shared" si="14"/>
        <v/>
      </c>
      <c r="AC30" s="410" t="str">
        <f t="shared" si="15"/>
        <v/>
      </c>
      <c r="AD30" s="410" t="str">
        <f t="shared" si="16"/>
        <v/>
      </c>
      <c r="AE30" s="410" t="str">
        <f t="shared" si="17"/>
        <v/>
      </c>
      <c r="AF30" s="404"/>
      <c r="AG30" s="411"/>
      <c r="AH30" s="410" t="str">
        <f t="shared" si="18"/>
        <v/>
      </c>
    </row>
    <row r="31" spans="1:34" x14ac:dyDescent="0.25">
      <c r="A31" s="56" t="s">
        <v>273</v>
      </c>
      <c r="B31" s="33"/>
      <c r="C31" s="33"/>
      <c r="D31" s="32" t="str">
        <f>IFERROR(D30-D28,"TBD")</f>
        <v>TBD</v>
      </c>
      <c r="E31" s="32" t="str">
        <f>IFERROR(E30-E28,"TBD")</f>
        <v>TBD</v>
      </c>
      <c r="F31" s="32" t="str">
        <f>IFERROR(F30-F28,"TBD")</f>
        <v>TBD</v>
      </c>
      <c r="G31" s="32" t="str">
        <f>IFERROR(G30-G28,"TBD")</f>
        <v>TBD</v>
      </c>
      <c r="H31" s="32" t="str">
        <f>IFERROR(H30-H28,"TBD")</f>
        <v>TBD</v>
      </c>
      <c r="J31" s="33"/>
      <c r="K31" s="32" t="str">
        <f>IFERROR(K30-K28,"TBD")</f>
        <v>TBD</v>
      </c>
      <c r="M31" s="56" t="s">
        <v>273</v>
      </c>
      <c r="N31" s="33"/>
      <c r="O31" s="33"/>
      <c r="P31" s="32" t="str">
        <f>IFERROR(P30-P28,"TBD")</f>
        <v>TBD</v>
      </c>
      <c r="Q31" s="32" t="str">
        <f>IFERROR(Q30-Q28,"TBD")</f>
        <v>TBD</v>
      </c>
      <c r="R31" s="32" t="str">
        <f>IFERROR(R30-R28,"TBD")</f>
        <v>TBD</v>
      </c>
      <c r="S31" s="32" t="str">
        <f>IFERROR(S30-S28,"TBD")</f>
        <v>TBD</v>
      </c>
      <c r="T31" s="32" t="str">
        <f>IFERROR(T30-T28,"TBD")</f>
        <v>TBD</v>
      </c>
      <c r="V31" s="33"/>
      <c r="W31" s="32" t="str">
        <f>IFERROR(W30-W28,"TBD")</f>
        <v>TBD</v>
      </c>
      <c r="Y31" s="409"/>
      <c r="Z31" s="409"/>
      <c r="AA31" s="412" t="str">
        <f t="shared" si="19"/>
        <v/>
      </c>
      <c r="AB31" s="412" t="str">
        <f t="shared" si="14"/>
        <v/>
      </c>
      <c r="AC31" s="412" t="str">
        <f t="shared" si="15"/>
        <v/>
      </c>
      <c r="AD31" s="412" t="str">
        <f t="shared" si="16"/>
        <v/>
      </c>
      <c r="AE31" s="412" t="str">
        <f t="shared" si="17"/>
        <v/>
      </c>
      <c r="AF31" s="404"/>
      <c r="AG31" s="409"/>
      <c r="AH31" s="412" t="str">
        <f t="shared" si="18"/>
        <v/>
      </c>
    </row>
    <row r="32" spans="1:34" x14ac:dyDescent="0.25">
      <c r="A32" s="57"/>
      <c r="M32" s="57"/>
      <c r="Y32" s="404"/>
      <c r="Z32" s="404"/>
      <c r="AA32" s="404"/>
      <c r="AB32" s="404"/>
      <c r="AC32" s="404"/>
      <c r="AD32" s="404"/>
      <c r="AE32" s="404"/>
      <c r="AF32" s="404"/>
      <c r="AG32" s="404"/>
      <c r="AH32" s="404"/>
    </row>
    <row r="33" spans="1:34" x14ac:dyDescent="0.25">
      <c r="A33" s="54" t="s">
        <v>274</v>
      </c>
      <c r="B33" s="30"/>
      <c r="C33" s="47" t="str">
        <f>IFERROR((D33*D13+K33*K13)/C13,"TBD")</f>
        <v>TBD</v>
      </c>
      <c r="D33" s="47" t="str">
        <f>IFERROR(SUMPRODUCT(E33:H33,E$13:H$13)/D$13,"TBD")</f>
        <v>TBD</v>
      </c>
      <c r="E33" s="175">
        <v>0</v>
      </c>
      <c r="F33" s="175">
        <v>0</v>
      </c>
      <c r="G33" s="175">
        <v>0</v>
      </c>
      <c r="H33" s="175">
        <v>0</v>
      </c>
      <c r="J33" s="30"/>
      <c r="K33" s="175">
        <v>0</v>
      </c>
      <c r="M33" s="54" t="s">
        <v>274</v>
      </c>
      <c r="N33" s="30"/>
      <c r="O33" s="47" t="str">
        <f>IFERROR((P33*P13+W33*W13)/O13,"TBD")</f>
        <v>TBD</v>
      </c>
      <c r="P33" s="47" t="str">
        <f>IFERROR(SUMPRODUCT(Q33:T33,Q$13:T$13)/P$13,"TBD")</f>
        <v>TBD</v>
      </c>
      <c r="Q33" s="175">
        <v>0</v>
      </c>
      <c r="R33" s="175">
        <v>0</v>
      </c>
      <c r="S33" s="175">
        <v>0</v>
      </c>
      <c r="T33" s="175">
        <v>0</v>
      </c>
      <c r="V33" s="30"/>
      <c r="W33" s="175">
        <v>0</v>
      </c>
      <c r="Y33" s="411"/>
      <c r="Z33" s="410" t="str">
        <f t="shared" ref="Z33:Z34" si="20">IFERROR(O33/C33,"")</f>
        <v/>
      </c>
      <c r="AA33" s="410" t="str">
        <f t="shared" ref="AA33:AA34" si="21">IFERROR(P33/D33,"")</f>
        <v/>
      </c>
      <c r="AB33" s="410" t="str">
        <f t="shared" ref="AB33:AB34" si="22">IFERROR(Q33/E33,"")</f>
        <v/>
      </c>
      <c r="AC33" s="410" t="str">
        <f t="shared" ref="AC33:AC34" si="23">IFERROR(R33/F33,"")</f>
        <v/>
      </c>
      <c r="AD33" s="410" t="str">
        <f t="shared" ref="AD33:AD34" si="24">IFERROR(S33/G33,"")</f>
        <v/>
      </c>
      <c r="AE33" s="410" t="str">
        <f t="shared" ref="AE33:AE34" si="25">IFERROR(T33/H33,"")</f>
        <v/>
      </c>
      <c r="AF33" s="404"/>
      <c r="AG33" s="411"/>
      <c r="AH33" s="410" t="str">
        <f t="shared" si="18"/>
        <v/>
      </c>
    </row>
    <row r="34" spans="1:34" x14ac:dyDescent="0.25">
      <c r="A34" s="56" t="s">
        <v>275</v>
      </c>
      <c r="B34" s="33"/>
      <c r="C34" s="32" t="str">
        <f>IFERROR((D34*D13+K34*K13)/C13,"TBD")</f>
        <v>TBD</v>
      </c>
      <c r="D34" s="32" t="str">
        <f>IFERROR(SUMPRODUCT(E34:H34,E$13:H$13)/D$13,"TBD")</f>
        <v>TBD</v>
      </c>
      <c r="E34" s="176">
        <v>0</v>
      </c>
      <c r="F34" s="176">
        <v>0</v>
      </c>
      <c r="G34" s="176">
        <v>0</v>
      </c>
      <c r="H34" s="176">
        <v>0</v>
      </c>
      <c r="J34" s="33"/>
      <c r="K34" s="176">
        <v>0</v>
      </c>
      <c r="M34" s="56" t="s">
        <v>275</v>
      </c>
      <c r="N34" s="33"/>
      <c r="O34" s="32" t="str">
        <f>IFERROR((P34*P13+W34*W13)/O13,"TBD")</f>
        <v>TBD</v>
      </c>
      <c r="P34" s="32" t="str">
        <f>IFERROR(SUMPRODUCT(Q34:T34,Q$13:T$13)/P$13,"TBD")</f>
        <v>TBD</v>
      </c>
      <c r="Q34" s="176">
        <v>0</v>
      </c>
      <c r="R34" s="176">
        <v>0</v>
      </c>
      <c r="S34" s="176">
        <v>0</v>
      </c>
      <c r="T34" s="176">
        <v>0</v>
      </c>
      <c r="V34" s="33"/>
      <c r="W34" s="176">
        <v>0</v>
      </c>
      <c r="Y34" s="409"/>
      <c r="Z34" s="412" t="str">
        <f t="shared" si="20"/>
        <v/>
      </c>
      <c r="AA34" s="412" t="str">
        <f t="shared" si="21"/>
        <v/>
      </c>
      <c r="AB34" s="412" t="str">
        <f t="shared" si="22"/>
        <v/>
      </c>
      <c r="AC34" s="412" t="str">
        <f t="shared" si="23"/>
        <v/>
      </c>
      <c r="AD34" s="412" t="str">
        <f t="shared" si="24"/>
        <v/>
      </c>
      <c r="AE34" s="412" t="str">
        <f t="shared" si="25"/>
        <v/>
      </c>
      <c r="AF34" s="404"/>
      <c r="AG34" s="409"/>
      <c r="AH34" s="412" t="str">
        <f t="shared" si="18"/>
        <v/>
      </c>
    </row>
    <row r="35" spans="1:34" ht="6" customHeight="1" x14ac:dyDescent="0.25">
      <c r="A35" s="57"/>
      <c r="M35" s="57"/>
      <c r="Y35" s="404"/>
      <c r="Z35" s="404"/>
      <c r="AA35" s="404"/>
      <c r="AB35" s="415"/>
      <c r="AC35" s="415"/>
      <c r="AD35" s="415"/>
      <c r="AE35" s="415"/>
      <c r="AF35" s="404"/>
      <c r="AG35" s="404"/>
      <c r="AH35" s="415"/>
    </row>
    <row r="36" spans="1:34" x14ac:dyDescent="0.25">
      <c r="A36" s="53" t="s">
        <v>276</v>
      </c>
      <c r="B36" s="22"/>
      <c r="C36" s="48" t="str">
        <f>IFERROR((D36*D13+K36*K13)/C13,"TBD")</f>
        <v>TBD</v>
      </c>
      <c r="D36" s="48" t="str">
        <f>IFERROR(SUMPRODUCT(E36:H36,E$13:H$13)/D$13,"TBD")</f>
        <v>TBD</v>
      </c>
      <c r="E36" s="177">
        <v>0</v>
      </c>
      <c r="F36" s="177">
        <v>0</v>
      </c>
      <c r="G36" s="177">
        <v>0</v>
      </c>
      <c r="H36" s="177">
        <v>0</v>
      </c>
      <c r="J36" s="22"/>
      <c r="K36" s="177">
        <v>0</v>
      </c>
      <c r="M36" s="53" t="s">
        <v>276</v>
      </c>
      <c r="N36" s="22"/>
      <c r="O36" s="48" t="str">
        <f>IFERROR((P36*P13+W36*W13)/O13,"TBD")</f>
        <v>TBD</v>
      </c>
      <c r="P36" s="48" t="str">
        <f>IFERROR(SUMPRODUCT(Q36:T36,Q$13:T$13)/P$13,"TBD")</f>
        <v>TBD</v>
      </c>
      <c r="Q36" s="177">
        <v>0</v>
      </c>
      <c r="R36" s="177">
        <v>0</v>
      </c>
      <c r="S36" s="177">
        <v>0</v>
      </c>
      <c r="T36" s="177">
        <v>0</v>
      </c>
      <c r="V36" s="22"/>
      <c r="W36" s="177">
        <v>0</v>
      </c>
      <c r="Y36" s="402"/>
      <c r="Z36" s="403" t="str">
        <f t="shared" ref="Z36" si="26">IFERROR(O36/C36,"")</f>
        <v/>
      </c>
      <c r="AA36" s="403" t="str">
        <f t="shared" ref="AA36" si="27">IFERROR(P36/D36,"")</f>
        <v/>
      </c>
      <c r="AB36" s="403" t="str">
        <f t="shared" ref="AB36" si="28">IFERROR(Q36/E36,"")</f>
        <v/>
      </c>
      <c r="AC36" s="403" t="str">
        <f t="shared" ref="AC36" si="29">IFERROR(R36/F36,"")</f>
        <v/>
      </c>
      <c r="AD36" s="403" t="str">
        <f t="shared" ref="AD36" si="30">IFERROR(S36/G36,"")</f>
        <v/>
      </c>
      <c r="AE36" s="403" t="str">
        <f t="shared" ref="AE36" si="31">IFERROR(T36/H36,"")</f>
        <v/>
      </c>
      <c r="AF36" s="404"/>
      <c r="AG36" s="402"/>
      <c r="AH36" s="403" t="str">
        <f t="shared" si="18"/>
        <v/>
      </c>
    </row>
    <row r="37" spans="1:34" ht="6" customHeight="1" x14ac:dyDescent="0.25">
      <c r="A37" s="57"/>
      <c r="M37" s="57"/>
      <c r="Y37" s="404"/>
      <c r="Z37" s="404"/>
      <c r="AA37" s="404"/>
      <c r="AB37" s="404"/>
      <c r="AC37" s="404"/>
      <c r="AD37" s="404"/>
      <c r="AE37" s="404"/>
      <c r="AF37" s="404"/>
      <c r="AG37" s="404"/>
      <c r="AH37" s="404"/>
    </row>
    <row r="38" spans="1:34" x14ac:dyDescent="0.25">
      <c r="A38" s="53" t="s">
        <v>277</v>
      </c>
      <c r="B38" s="22"/>
      <c r="C38" s="48" t="str">
        <f>IFERROR((D38*D13+K38*K13)/C13,"TBD")</f>
        <v>TBD</v>
      </c>
      <c r="D38" s="48" t="str">
        <f>IFERROR(SUMPRODUCT(E38:H38,E$13:H$13)/D$13,"TBD")</f>
        <v>TBD</v>
      </c>
      <c r="E38" s="48">
        <f>SUM(E30,E33:E34,E36)</f>
        <v>0</v>
      </c>
      <c r="F38" s="48">
        <f t="shared" ref="F38:H38" si="32">SUM(F30,F33:F34,F36)</f>
        <v>0</v>
      </c>
      <c r="G38" s="48">
        <f t="shared" si="32"/>
        <v>0</v>
      </c>
      <c r="H38" s="48">
        <f t="shared" si="32"/>
        <v>0</v>
      </c>
      <c r="J38" s="22"/>
      <c r="K38" s="48">
        <f t="shared" ref="K38" si="33">SUM(K30,K33:K34,K36)</f>
        <v>0</v>
      </c>
      <c r="M38" s="53" t="s">
        <v>277</v>
      </c>
      <c r="N38" s="22"/>
      <c r="O38" s="48" t="str">
        <f>IFERROR((P38*P13+W38*W13)/O13,"TBD")</f>
        <v>TBD</v>
      </c>
      <c r="P38" s="48" t="str">
        <f>IFERROR(SUMPRODUCT(Q38:T38,Q$13:T$13)/P$13,"TBD")</f>
        <v>TBD</v>
      </c>
      <c r="Q38" s="48">
        <f>SUM(Q30,Q33:Q34,Q36)</f>
        <v>0</v>
      </c>
      <c r="R38" s="48">
        <f t="shared" ref="R38:T38" si="34">SUM(R30,R33:R34,R36)</f>
        <v>0</v>
      </c>
      <c r="S38" s="48">
        <f t="shared" si="34"/>
        <v>0</v>
      </c>
      <c r="T38" s="48">
        <f t="shared" si="34"/>
        <v>0</v>
      </c>
      <c r="V38" s="22"/>
      <c r="W38" s="48">
        <f t="shared" ref="W38" si="35">SUM(W30,W33:W34,W36)</f>
        <v>0</v>
      </c>
      <c r="Y38" s="402"/>
      <c r="Z38" s="403" t="str">
        <f t="shared" ref="Z38" si="36">IFERROR(O38/C38,"")</f>
        <v/>
      </c>
      <c r="AA38" s="403" t="str">
        <f t="shared" ref="AA38" si="37">IFERROR(P38/D38,"")</f>
        <v/>
      </c>
      <c r="AB38" s="403" t="str">
        <f t="shared" ref="AB38" si="38">IFERROR(Q38/E38,"")</f>
        <v/>
      </c>
      <c r="AC38" s="403" t="str">
        <f t="shared" ref="AC38" si="39">IFERROR(R38/F38,"")</f>
        <v/>
      </c>
      <c r="AD38" s="403" t="str">
        <f t="shared" ref="AD38" si="40">IFERROR(S38/G38,"")</f>
        <v/>
      </c>
      <c r="AE38" s="403" t="str">
        <f t="shared" ref="AE38" si="41">IFERROR(T38/H38,"")</f>
        <v/>
      </c>
      <c r="AF38" s="404"/>
      <c r="AG38" s="402"/>
      <c r="AH38" s="403" t="str">
        <f t="shared" si="18"/>
        <v/>
      </c>
    </row>
    <row r="39" spans="1:34" x14ac:dyDescent="0.25">
      <c r="E39" s="34"/>
      <c r="F39" s="34"/>
      <c r="G39" s="34"/>
      <c r="H39" s="34"/>
      <c r="K39" s="34"/>
    </row>
    <row r="40" spans="1:34" x14ac:dyDescent="0.25">
      <c r="E40" s="34"/>
      <c r="F40" s="34"/>
      <c r="G40" s="34"/>
      <c r="H40" s="34"/>
      <c r="K40" s="34"/>
    </row>
    <row r="41" spans="1:34" x14ac:dyDescent="0.25">
      <c r="N41" s="43" t="str">
        <f>"PROJECTED (i.e., EXPECTED), "&amp;ExperYear</f>
        <v>PROJECTED (i.e., EXPECTED), 2024</v>
      </c>
      <c r="O41" s="43"/>
      <c r="P41" s="19"/>
      <c r="Q41" s="19"/>
      <c r="R41" s="19"/>
      <c r="S41" s="19"/>
      <c r="T41" s="19"/>
      <c r="U41" s="19"/>
      <c r="V41" s="19"/>
      <c r="W41" s="19"/>
      <c r="Y41" s="43" t="str">
        <f>B9&amp;" versus "&amp;N41</f>
        <v>ACTUAL EXPERIENCE, 2024 versus PROJECTED (i.e., EXPECTED), 2024</v>
      </c>
      <c r="Z41" s="43"/>
      <c r="AA41" s="43"/>
      <c r="AB41" s="43"/>
      <c r="AC41" s="43"/>
      <c r="AD41" s="43"/>
      <c r="AE41" s="43"/>
      <c r="AF41" s="43"/>
      <c r="AG41" s="43"/>
      <c r="AH41" s="43"/>
    </row>
    <row r="42" spans="1:34" x14ac:dyDescent="0.25">
      <c r="N42" s="629" t="s">
        <v>250</v>
      </c>
      <c r="O42" s="602"/>
      <c r="P42" s="19" t="s">
        <v>251</v>
      </c>
      <c r="Q42" s="19"/>
      <c r="R42" s="19"/>
      <c r="S42" s="19"/>
      <c r="T42" s="19"/>
      <c r="V42" s="629" t="s">
        <v>252</v>
      </c>
      <c r="W42" s="19" t="s">
        <v>251</v>
      </c>
      <c r="Y42" s="629" t="s">
        <v>250</v>
      </c>
      <c r="Z42" s="602"/>
      <c r="AA42" s="19" t="s">
        <v>251</v>
      </c>
      <c r="AB42" s="19"/>
      <c r="AC42" s="19"/>
      <c r="AD42" s="19"/>
      <c r="AE42" s="19"/>
      <c r="AG42" s="629" t="s">
        <v>252</v>
      </c>
      <c r="AH42" s="19" t="s">
        <v>251</v>
      </c>
    </row>
    <row r="43" spans="1:34" x14ac:dyDescent="0.25">
      <c r="N43" s="630"/>
      <c r="O43" s="629" t="s">
        <v>256</v>
      </c>
      <c r="P43" s="629" t="s">
        <v>254</v>
      </c>
      <c r="Q43" s="629" t="s">
        <v>9</v>
      </c>
      <c r="R43" s="629" t="s">
        <v>8</v>
      </c>
      <c r="S43" s="629" t="s">
        <v>7</v>
      </c>
      <c r="T43" s="629" t="s">
        <v>6</v>
      </c>
      <c r="V43" s="630"/>
      <c r="W43" s="629" t="s">
        <v>255</v>
      </c>
      <c r="Y43" s="630"/>
      <c r="Z43" s="629" t="s">
        <v>256</v>
      </c>
      <c r="AA43" s="629" t="s">
        <v>254</v>
      </c>
      <c r="AB43" s="629" t="s">
        <v>9</v>
      </c>
      <c r="AC43" s="629" t="s">
        <v>8</v>
      </c>
      <c r="AD43" s="629" t="s">
        <v>7</v>
      </c>
      <c r="AE43" s="629" t="s">
        <v>6</v>
      </c>
      <c r="AG43" s="630"/>
      <c r="AH43" s="629" t="s">
        <v>255</v>
      </c>
    </row>
    <row r="44" spans="1:34" x14ac:dyDescent="0.25">
      <c r="M44" s="52" t="s">
        <v>65</v>
      </c>
      <c r="N44" s="630"/>
      <c r="O44" s="630"/>
      <c r="P44" s="630"/>
      <c r="Q44" s="630"/>
      <c r="R44" s="630"/>
      <c r="S44" s="630"/>
      <c r="T44" s="630"/>
      <c r="V44" s="631"/>
      <c r="W44" s="631"/>
      <c r="Y44" s="630"/>
      <c r="Z44" s="630"/>
      <c r="AA44" s="630"/>
      <c r="AB44" s="630"/>
      <c r="AC44" s="630"/>
      <c r="AD44" s="630"/>
      <c r="AE44" s="630"/>
      <c r="AG44" s="631"/>
      <c r="AH44" s="631"/>
    </row>
    <row r="45" spans="1:34" x14ac:dyDescent="0.25">
      <c r="M45" s="53" t="s">
        <v>257</v>
      </c>
      <c r="N45" s="22"/>
      <c r="O45" s="23">
        <f>P45+W45</f>
        <v>0</v>
      </c>
      <c r="P45" s="23">
        <f>SUM(Q45:T45)</f>
        <v>0</v>
      </c>
      <c r="Q45" s="174">
        <v>0</v>
      </c>
      <c r="R45" s="174">
        <v>0</v>
      </c>
      <c r="S45" s="174">
        <v>0</v>
      </c>
      <c r="T45" s="174">
        <v>0</v>
      </c>
      <c r="V45" s="22"/>
      <c r="W45" s="174">
        <v>0</v>
      </c>
      <c r="Y45" s="402"/>
      <c r="Z45" s="403" t="str">
        <f t="shared" ref="Z45:AE50" si="42">IFERROR(C13/O45,"")</f>
        <v/>
      </c>
      <c r="AA45" s="403" t="str">
        <f t="shared" si="42"/>
        <v/>
      </c>
      <c r="AB45" s="403" t="str">
        <f t="shared" si="42"/>
        <v/>
      </c>
      <c r="AC45" s="403" t="str">
        <f t="shared" si="42"/>
        <v/>
      </c>
      <c r="AD45" s="403" t="str">
        <f t="shared" si="42"/>
        <v/>
      </c>
      <c r="AE45" s="403" t="str">
        <f t="shared" si="42"/>
        <v/>
      </c>
      <c r="AF45" s="404"/>
      <c r="AG45" s="402"/>
      <c r="AH45" s="403" t="str">
        <f t="shared" ref="AH45:AH50" si="43">IFERROR(K13/W45,"")</f>
        <v/>
      </c>
    </row>
    <row r="46" spans="1:34" x14ac:dyDescent="0.25">
      <c r="M46" s="54" t="s">
        <v>258</v>
      </c>
      <c r="N46" s="170">
        <v>0</v>
      </c>
      <c r="O46" s="49"/>
      <c r="P46" s="24" t="str">
        <f>IFERROR(SUMPRODUCT(Q46:T46,$Q$45:$T$45)/$P$45,"TBD")</f>
        <v>TBD</v>
      </c>
      <c r="Q46" s="170">
        <v>0.9</v>
      </c>
      <c r="R46" s="170">
        <v>0.8</v>
      </c>
      <c r="S46" s="170">
        <v>0.7</v>
      </c>
      <c r="T46" s="170">
        <v>0.6</v>
      </c>
      <c r="V46" s="170">
        <v>0</v>
      </c>
      <c r="W46" s="170">
        <v>0</v>
      </c>
      <c r="Y46" s="405" t="str">
        <f>IFERROR(B14/N46,"")</f>
        <v/>
      </c>
      <c r="Z46" s="406"/>
      <c r="AA46" s="405" t="str">
        <f t="shared" si="42"/>
        <v/>
      </c>
      <c r="AB46" s="405">
        <f t="shared" si="42"/>
        <v>1</v>
      </c>
      <c r="AC46" s="405">
        <f t="shared" si="42"/>
        <v>1</v>
      </c>
      <c r="AD46" s="405">
        <f t="shared" si="42"/>
        <v>1</v>
      </c>
      <c r="AE46" s="405">
        <f t="shared" si="42"/>
        <v>1</v>
      </c>
      <c r="AF46" s="404"/>
      <c r="AG46" s="405" t="str">
        <f>IFERROR(J14/V46,"")</f>
        <v/>
      </c>
      <c r="AH46" s="405" t="str">
        <f t="shared" si="43"/>
        <v/>
      </c>
    </row>
    <row r="47" spans="1:34" x14ac:dyDescent="0.25">
      <c r="M47" s="55" t="s">
        <v>259</v>
      </c>
      <c r="N47" s="171">
        <v>0</v>
      </c>
      <c r="O47" s="49"/>
      <c r="P47" s="25" t="str">
        <f>IFERROR(SUMPRODUCT(Q47:T47,$Q$45:$T$45)/$P$45,"TBD")</f>
        <v>TBD</v>
      </c>
      <c r="Q47" s="171">
        <v>0</v>
      </c>
      <c r="R47" s="171">
        <v>0</v>
      </c>
      <c r="S47" s="171">
        <v>0</v>
      </c>
      <c r="T47" s="171">
        <v>0</v>
      </c>
      <c r="V47" s="171">
        <v>0</v>
      </c>
      <c r="W47" s="171">
        <v>0</v>
      </c>
      <c r="Y47" s="407" t="str">
        <f>IFERROR(B15/N47,"")</f>
        <v/>
      </c>
      <c r="Z47" s="406"/>
      <c r="AA47" s="407" t="str">
        <f t="shared" si="42"/>
        <v/>
      </c>
      <c r="AB47" s="407" t="str">
        <f t="shared" si="42"/>
        <v/>
      </c>
      <c r="AC47" s="407" t="str">
        <f t="shared" si="42"/>
        <v/>
      </c>
      <c r="AD47" s="407" t="str">
        <f t="shared" si="42"/>
        <v/>
      </c>
      <c r="AE47" s="407" t="str">
        <f t="shared" si="42"/>
        <v/>
      </c>
      <c r="AF47" s="404"/>
      <c r="AG47" s="407" t="str">
        <f>IFERROR(J15/V47,"")</f>
        <v/>
      </c>
      <c r="AH47" s="407" t="str">
        <f t="shared" si="43"/>
        <v/>
      </c>
    </row>
    <row r="48" spans="1:34" x14ac:dyDescent="0.25">
      <c r="M48" s="55" t="s">
        <v>260</v>
      </c>
      <c r="N48" s="171">
        <v>0</v>
      </c>
      <c r="O48" s="49"/>
      <c r="P48" s="25" t="str">
        <f>IFERROR(SUMPRODUCT(Q48:T48,$Q$45:$T$45)/$P$45,"TBD")</f>
        <v>TBD</v>
      </c>
      <c r="Q48" s="171">
        <v>0</v>
      </c>
      <c r="R48" s="171">
        <v>0</v>
      </c>
      <c r="S48" s="171">
        <v>0</v>
      </c>
      <c r="T48" s="171">
        <v>0</v>
      </c>
      <c r="V48" s="171">
        <v>0</v>
      </c>
      <c r="W48" s="171">
        <v>0</v>
      </c>
      <c r="Y48" s="407" t="str">
        <f>IFERROR(B16/N48,"")</f>
        <v/>
      </c>
      <c r="Z48" s="406"/>
      <c r="AA48" s="407" t="str">
        <f t="shared" si="42"/>
        <v/>
      </c>
      <c r="AB48" s="407" t="str">
        <f t="shared" si="42"/>
        <v/>
      </c>
      <c r="AC48" s="407" t="str">
        <f t="shared" si="42"/>
        <v/>
      </c>
      <c r="AD48" s="407" t="str">
        <f t="shared" si="42"/>
        <v/>
      </c>
      <c r="AE48" s="407" t="str">
        <f t="shared" si="42"/>
        <v/>
      </c>
      <c r="AF48" s="404"/>
      <c r="AG48" s="407" t="str">
        <f>IFERROR(J16/V48,"")</f>
        <v/>
      </c>
      <c r="AH48" s="407" t="str">
        <f t="shared" si="43"/>
        <v/>
      </c>
    </row>
    <row r="49" spans="13:34" x14ac:dyDescent="0.25">
      <c r="M49" s="55" t="s">
        <v>4</v>
      </c>
      <c r="N49" s="171">
        <v>0</v>
      </c>
      <c r="O49" s="49"/>
      <c r="P49" s="25" t="str">
        <f>IFERROR(SUMPRODUCT(Q49:T49,$Q$45:$T$45)/$P$45,"TBD")</f>
        <v>TBD</v>
      </c>
      <c r="Q49" s="171">
        <v>0</v>
      </c>
      <c r="R49" s="171">
        <v>0</v>
      </c>
      <c r="S49" s="171">
        <v>0</v>
      </c>
      <c r="T49" s="171">
        <v>0</v>
      </c>
      <c r="V49" s="171">
        <v>0</v>
      </c>
      <c r="W49" s="171">
        <v>0</v>
      </c>
      <c r="Y49" s="407" t="str">
        <f>IFERROR(B17/N49,"")</f>
        <v/>
      </c>
      <c r="Z49" s="406"/>
      <c r="AA49" s="407" t="str">
        <f t="shared" si="42"/>
        <v/>
      </c>
      <c r="AB49" s="407" t="str">
        <f t="shared" si="42"/>
        <v/>
      </c>
      <c r="AC49" s="407" t="str">
        <f t="shared" si="42"/>
        <v/>
      </c>
      <c r="AD49" s="407" t="str">
        <f t="shared" si="42"/>
        <v/>
      </c>
      <c r="AE49" s="407" t="str">
        <f t="shared" si="42"/>
        <v/>
      </c>
      <c r="AF49" s="404"/>
      <c r="AG49" s="407" t="str">
        <f>IFERROR(J17/V49,"")</f>
        <v/>
      </c>
      <c r="AH49" s="407" t="str">
        <f t="shared" si="43"/>
        <v/>
      </c>
    </row>
    <row r="50" spans="13:34" x14ac:dyDescent="0.25">
      <c r="M50" s="56" t="s">
        <v>261</v>
      </c>
      <c r="N50" s="172">
        <v>0</v>
      </c>
      <c r="O50" s="27"/>
      <c r="P50" s="26" t="str">
        <f>IFERROR(SUMPRODUCT(Q50:T50,$Q$45:$T$45)/$P$45,"TBD")</f>
        <v>TBD</v>
      </c>
      <c r="Q50" s="172">
        <v>0</v>
      </c>
      <c r="R50" s="172">
        <v>0</v>
      </c>
      <c r="S50" s="172">
        <v>0</v>
      </c>
      <c r="T50" s="172">
        <v>0</v>
      </c>
      <c r="V50" s="172">
        <v>0</v>
      </c>
      <c r="W50" s="172">
        <v>0</v>
      </c>
      <c r="Y50" s="408" t="str">
        <f>IFERROR(B18/N50,"")</f>
        <v/>
      </c>
      <c r="Z50" s="409"/>
      <c r="AA50" s="408" t="str">
        <f t="shared" si="42"/>
        <v/>
      </c>
      <c r="AB50" s="408" t="str">
        <f t="shared" si="42"/>
        <v/>
      </c>
      <c r="AC50" s="408" t="str">
        <f t="shared" si="42"/>
        <v/>
      </c>
      <c r="AD50" s="408" t="str">
        <f t="shared" si="42"/>
        <v/>
      </c>
      <c r="AE50" s="408" t="str">
        <f t="shared" si="42"/>
        <v/>
      </c>
      <c r="AF50" s="404"/>
      <c r="AG50" s="408" t="str">
        <f>IFERROR(J18/V50,"")</f>
        <v/>
      </c>
      <c r="AH50" s="408" t="str">
        <f t="shared" si="43"/>
        <v/>
      </c>
    </row>
    <row r="51" spans="13:34" x14ac:dyDescent="0.25">
      <c r="M51" s="55" t="s">
        <v>262</v>
      </c>
      <c r="N51" s="49"/>
      <c r="O51" s="49"/>
      <c r="P51" s="49"/>
      <c r="Q51" s="49"/>
      <c r="R51" s="49"/>
      <c r="S51" s="49"/>
      <c r="T51" s="49"/>
      <c r="V51" s="49"/>
      <c r="W51" s="49"/>
      <c r="Y51" s="406"/>
      <c r="Z51" s="406"/>
      <c r="AA51" s="406"/>
      <c r="AB51" s="406"/>
      <c r="AC51" s="406"/>
      <c r="AD51" s="406"/>
      <c r="AE51" s="406"/>
      <c r="AF51" s="404"/>
      <c r="AG51" s="406"/>
      <c r="AH51" s="406"/>
    </row>
    <row r="52" spans="13:34" x14ac:dyDescent="0.25">
      <c r="M52" s="55" t="s">
        <v>263</v>
      </c>
      <c r="N52" s="554">
        <v>0</v>
      </c>
      <c r="O52" s="49"/>
      <c r="P52" s="49"/>
      <c r="Q52" s="49"/>
      <c r="R52" s="49"/>
      <c r="S52" s="49"/>
      <c r="T52" s="49"/>
      <c r="V52" s="554">
        <v>0</v>
      </c>
      <c r="W52" s="49"/>
      <c r="Y52" s="406"/>
      <c r="Z52" s="406"/>
      <c r="AA52" s="406"/>
      <c r="AB52" s="406"/>
      <c r="AC52" s="406"/>
      <c r="AD52" s="406"/>
      <c r="AE52" s="406"/>
      <c r="AF52" s="404"/>
      <c r="AG52" s="406"/>
      <c r="AH52" s="406"/>
    </row>
    <row r="53" spans="13:34" x14ac:dyDescent="0.25">
      <c r="M53" s="55" t="str">
        <f>"Trend from "&amp;ExperYear-2&amp;" to "&amp;ExperYear-1</f>
        <v>Trend from 2022 to 2023</v>
      </c>
      <c r="N53" s="178">
        <v>0</v>
      </c>
      <c r="O53" s="49"/>
      <c r="P53" s="49"/>
      <c r="Q53" s="49"/>
      <c r="R53" s="49"/>
      <c r="S53" s="49"/>
      <c r="T53" s="49"/>
      <c r="V53" s="178">
        <v>0</v>
      </c>
      <c r="W53" s="49"/>
      <c r="Y53" s="406"/>
      <c r="Z53" s="406"/>
      <c r="AA53" s="406"/>
      <c r="AB53" s="406"/>
      <c r="AC53" s="406"/>
      <c r="AD53" s="406"/>
      <c r="AE53" s="406"/>
      <c r="AF53" s="404"/>
      <c r="AG53" s="406"/>
      <c r="AH53" s="406"/>
    </row>
    <row r="54" spans="13:34" x14ac:dyDescent="0.25">
      <c r="M54" s="55" t="str">
        <f>"Trend from "&amp;ExperYear-1&amp;" to "&amp;ExperYear</f>
        <v>Trend from 2023 to 2024</v>
      </c>
      <c r="N54" s="178">
        <v>0</v>
      </c>
      <c r="O54" s="49"/>
      <c r="P54" s="49"/>
      <c r="Q54" s="49"/>
      <c r="R54" s="49"/>
      <c r="S54" s="49"/>
      <c r="T54" s="49"/>
      <c r="V54" s="178">
        <v>0</v>
      </c>
      <c r="W54" s="49"/>
      <c r="Y54" s="406"/>
      <c r="Z54" s="406"/>
      <c r="AA54" s="406"/>
      <c r="AB54" s="406"/>
      <c r="AC54" s="406"/>
      <c r="AD54" s="406"/>
      <c r="AE54" s="406"/>
      <c r="AF54" s="404"/>
      <c r="AG54" s="406"/>
      <c r="AH54" s="406"/>
    </row>
    <row r="55" spans="13:34" x14ac:dyDescent="0.25">
      <c r="M55" s="56" t="s">
        <v>264</v>
      </c>
      <c r="N55" s="223">
        <f>N52*(1+N53)*(1+N54)</f>
        <v>0</v>
      </c>
      <c r="O55" s="27"/>
      <c r="P55" s="27"/>
      <c r="Q55" s="27"/>
      <c r="R55" s="27"/>
      <c r="S55" s="27"/>
      <c r="T55" s="27"/>
      <c r="V55" s="222">
        <f>V52*(1+V53)*(1+V54)</f>
        <v>0</v>
      </c>
      <c r="W55" s="27"/>
      <c r="Y55" s="408" t="str">
        <f>IFERROR(B23/N55,"")</f>
        <v/>
      </c>
      <c r="Z55" s="409"/>
      <c r="AA55" s="409"/>
      <c r="AB55" s="409"/>
      <c r="AC55" s="409"/>
      <c r="AD55" s="409"/>
      <c r="AE55" s="409"/>
      <c r="AF55" s="404"/>
      <c r="AG55" s="408" t="str">
        <f>IFERROR(J23/V55,"")</f>
        <v/>
      </c>
      <c r="AH55" s="409"/>
    </row>
    <row r="56" spans="13:34" x14ac:dyDescent="0.25">
      <c r="M56" s="54" t="s">
        <v>265</v>
      </c>
      <c r="N56" s="28">
        <f>IFERROR(N47*N49*N50,"TBD")</f>
        <v>0</v>
      </c>
      <c r="O56" s="30"/>
      <c r="P56" s="28" t="str">
        <f>IFERROR(P47*P49*P50,"TBD")</f>
        <v>TBD</v>
      </c>
      <c r="Q56" s="28">
        <f>IFERROR(Q47*Q49*Q50,"TBD")</f>
        <v>0</v>
      </c>
      <c r="R56" s="28">
        <f>IFERROR(R47*R49*R50,"TBD")</f>
        <v>0</v>
      </c>
      <c r="S56" s="28">
        <f>IFERROR(S47*S49*S50,"TBD")</f>
        <v>0</v>
      </c>
      <c r="T56" s="28">
        <f>IFERROR(T47*T49*T50,"TBD")</f>
        <v>0</v>
      </c>
      <c r="V56" s="28">
        <f>IFERROR(V47*V49*V50,"TBD")</f>
        <v>0</v>
      </c>
      <c r="W56" s="28">
        <f>IFERROR(W47*W49*W50,"TBD")</f>
        <v>0</v>
      </c>
      <c r="Y56" s="410" t="str">
        <f>IFERROR(B24/N56,"")</f>
        <v/>
      </c>
      <c r="Z56" s="411"/>
      <c r="AA56" s="410" t="str">
        <f t="shared" ref="AA56:AE63" si="44">IFERROR(D24/P56,"")</f>
        <v/>
      </c>
      <c r="AB56" s="410" t="str">
        <f t="shared" si="44"/>
        <v/>
      </c>
      <c r="AC56" s="410" t="str">
        <f t="shared" si="44"/>
        <v/>
      </c>
      <c r="AD56" s="410" t="str">
        <f t="shared" si="44"/>
        <v/>
      </c>
      <c r="AE56" s="410" t="str">
        <f t="shared" si="44"/>
        <v/>
      </c>
      <c r="AF56" s="404"/>
      <c r="AG56" s="410" t="str">
        <f>IFERROR(J24/V56,"")</f>
        <v/>
      </c>
      <c r="AH56" s="410" t="str">
        <f t="shared" ref="AH56:AH63" si="45">IFERROR(K24/W56,"")</f>
        <v/>
      </c>
    </row>
    <row r="57" spans="13:34" x14ac:dyDescent="0.25">
      <c r="M57" s="56" t="s">
        <v>266</v>
      </c>
      <c r="N57" s="27"/>
      <c r="O57" s="31"/>
      <c r="P57" s="29" t="str">
        <f>IFERROR(P56/$N56,"TBD")</f>
        <v>TBD</v>
      </c>
      <c r="Q57" s="29" t="str">
        <f t="shared" ref="Q57:T57" si="46">IFERROR(Q56/$N56,"TBD")</f>
        <v>TBD</v>
      </c>
      <c r="R57" s="29" t="str">
        <f t="shared" si="46"/>
        <v>TBD</v>
      </c>
      <c r="S57" s="29" t="str">
        <f t="shared" si="46"/>
        <v>TBD</v>
      </c>
      <c r="T57" s="29" t="str">
        <f t="shared" si="46"/>
        <v>TBD</v>
      </c>
      <c r="V57" s="27"/>
      <c r="W57" s="29" t="str">
        <f>IFERROR(W56/$V56,"TBD")</f>
        <v>TBD</v>
      </c>
      <c r="Y57" s="409"/>
      <c r="Z57" s="409"/>
      <c r="AA57" s="412" t="str">
        <f t="shared" si="44"/>
        <v/>
      </c>
      <c r="AB57" s="412" t="str">
        <f t="shared" si="44"/>
        <v/>
      </c>
      <c r="AC57" s="412" t="str">
        <f t="shared" si="44"/>
        <v/>
      </c>
      <c r="AD57" s="412" t="str">
        <f t="shared" si="44"/>
        <v/>
      </c>
      <c r="AE57" s="412" t="str">
        <f t="shared" si="44"/>
        <v/>
      </c>
      <c r="AF57" s="404"/>
      <c r="AG57" s="409"/>
      <c r="AH57" s="412" t="str">
        <f t="shared" si="45"/>
        <v/>
      </c>
    </row>
    <row r="58" spans="13:34" x14ac:dyDescent="0.25">
      <c r="M58" s="54" t="s">
        <v>267</v>
      </c>
      <c r="N58" s="28">
        <f>IFERROR(N46*N48*N49*N50,"TBD")</f>
        <v>0</v>
      </c>
      <c r="O58" s="30"/>
      <c r="P58" s="28" t="str">
        <f>IFERROR(P46*P48*P49*P50,"TBD")</f>
        <v>TBD</v>
      </c>
      <c r="Q58" s="28">
        <f>IFERROR(Q46*Q48*Q49*Q50,"TBD")</f>
        <v>0</v>
      </c>
      <c r="R58" s="28">
        <f>IFERROR(R46*R48*R49*R50,"TBD")</f>
        <v>0</v>
      </c>
      <c r="S58" s="28">
        <f>IFERROR(S46*S48*S49*S50,"TBD")</f>
        <v>0</v>
      </c>
      <c r="T58" s="28">
        <f>IFERROR(T46*T48*T49*T50,"TBD")</f>
        <v>0</v>
      </c>
      <c r="V58" s="28">
        <f>IFERROR(V46*V48*V49*V50,"TBD")</f>
        <v>0</v>
      </c>
      <c r="W58" s="28">
        <f>IFERROR(W46*W48*W49*W50,"TBD")</f>
        <v>0</v>
      </c>
      <c r="Y58" s="410" t="str">
        <f>IFERROR(B26/N58,"")</f>
        <v/>
      </c>
      <c r="Z58" s="411"/>
      <c r="AA58" s="410" t="str">
        <f t="shared" si="44"/>
        <v/>
      </c>
      <c r="AB58" s="410" t="str">
        <f t="shared" si="44"/>
        <v/>
      </c>
      <c r="AC58" s="410" t="str">
        <f t="shared" si="44"/>
        <v/>
      </c>
      <c r="AD58" s="410" t="str">
        <f t="shared" si="44"/>
        <v/>
      </c>
      <c r="AE58" s="410" t="str">
        <f t="shared" si="44"/>
        <v/>
      </c>
      <c r="AF58" s="404"/>
      <c r="AG58" s="410" t="str">
        <f>IFERROR(J26/V58,"")</f>
        <v/>
      </c>
      <c r="AH58" s="410" t="str">
        <f t="shared" si="45"/>
        <v/>
      </c>
    </row>
    <row r="59" spans="13:34" x14ac:dyDescent="0.25">
      <c r="M59" s="56" t="s">
        <v>268</v>
      </c>
      <c r="N59" s="27"/>
      <c r="O59" s="31"/>
      <c r="P59" s="29" t="str">
        <f>IFERROR(P58/$N58,"TBD")</f>
        <v>TBD</v>
      </c>
      <c r="Q59" s="29" t="str">
        <f>IFERROR(Q58/$N58,"TBD")</f>
        <v>TBD</v>
      </c>
      <c r="R59" s="29" t="str">
        <f>IFERROR(R58/$N58,"TBD")</f>
        <v>TBD</v>
      </c>
      <c r="S59" s="29" t="str">
        <f>IFERROR(S58/$N58,"TBD")</f>
        <v>TBD</v>
      </c>
      <c r="T59" s="29" t="str">
        <f>IFERROR(T58/$N58,"TBD")</f>
        <v>TBD</v>
      </c>
      <c r="V59" s="27"/>
      <c r="W59" s="29" t="str">
        <f>IFERROR(W58/$V58,"TBD")</f>
        <v>TBD</v>
      </c>
      <c r="Y59" s="409"/>
      <c r="Z59" s="409"/>
      <c r="AA59" s="412" t="str">
        <f t="shared" si="44"/>
        <v/>
      </c>
      <c r="AB59" s="412" t="str">
        <f t="shared" si="44"/>
        <v/>
      </c>
      <c r="AC59" s="412" t="str">
        <f t="shared" si="44"/>
        <v/>
      </c>
      <c r="AD59" s="412" t="str">
        <f t="shared" si="44"/>
        <v/>
      </c>
      <c r="AE59" s="412" t="str">
        <f t="shared" si="44"/>
        <v/>
      </c>
      <c r="AF59" s="404"/>
      <c r="AG59" s="409"/>
      <c r="AH59" s="412" t="str">
        <f t="shared" si="45"/>
        <v/>
      </c>
    </row>
    <row r="60" spans="13:34" x14ac:dyDescent="0.25">
      <c r="M60" s="54" t="s">
        <v>269</v>
      </c>
      <c r="N60" s="30"/>
      <c r="O60" s="30"/>
      <c r="P60" s="37" t="str">
        <f>IFERROR((P57-P59)*$N$55*0.86,"TBD")</f>
        <v>TBD</v>
      </c>
      <c r="Q60" s="35" t="str">
        <f>IFERROR((Q57-Q59)*$N$55*0.86,"TBD")</f>
        <v>TBD</v>
      </c>
      <c r="R60" s="35" t="str">
        <f>IFERROR((R57-R59)*$N$55*0.86,"TBD")</f>
        <v>TBD</v>
      </c>
      <c r="S60" s="35" t="str">
        <f>IFERROR((S57-S59)*$N$55*0.86,"TBD")</f>
        <v>TBD</v>
      </c>
      <c r="T60" s="35" t="str">
        <f>IFERROR((T57-T59)*$N$55*0.86,"TBD")</f>
        <v>TBD</v>
      </c>
      <c r="V60" s="30"/>
      <c r="W60" s="35" t="str">
        <f>IFERROR((W57-W59)*$V$55*0.86,"TBD")</f>
        <v>TBD</v>
      </c>
      <c r="Y60" s="411"/>
      <c r="Z60" s="411"/>
      <c r="AA60" s="413" t="str">
        <f t="shared" si="44"/>
        <v/>
      </c>
      <c r="AB60" s="410" t="str">
        <f t="shared" si="44"/>
        <v/>
      </c>
      <c r="AC60" s="410" t="str">
        <f t="shared" si="44"/>
        <v/>
      </c>
      <c r="AD60" s="410" t="str">
        <f t="shared" si="44"/>
        <v/>
      </c>
      <c r="AE60" s="410" t="str">
        <f t="shared" si="44"/>
        <v/>
      </c>
      <c r="AF60" s="404"/>
      <c r="AG60" s="411"/>
      <c r="AH60" s="410" t="str">
        <f t="shared" si="45"/>
        <v/>
      </c>
    </row>
    <row r="61" spans="13:34" x14ac:dyDescent="0.25">
      <c r="M61" s="56" t="s">
        <v>270</v>
      </c>
      <c r="N61" s="31"/>
      <c r="O61" s="31"/>
      <c r="P61" s="38" t="str">
        <f>IFERROR(P60*P45,"TBD")</f>
        <v>TBD</v>
      </c>
      <c r="Q61" s="36" t="str">
        <f>IFERROR(Q60*Q45,"TBD")</f>
        <v>TBD</v>
      </c>
      <c r="R61" s="36" t="str">
        <f>IFERROR(R60*R45,"TBD")</f>
        <v>TBD</v>
      </c>
      <c r="S61" s="36" t="str">
        <f>IFERROR(S60*S45,"TBD")</f>
        <v>TBD</v>
      </c>
      <c r="T61" s="36" t="str">
        <f>IFERROR(T60*T45,"TBD")</f>
        <v>TBD</v>
      </c>
      <c r="V61" s="31"/>
      <c r="W61" s="36" t="str">
        <f>IFERROR(W60*W45,"TBD")</f>
        <v>TBD</v>
      </c>
      <c r="Y61" s="409"/>
      <c r="Z61" s="409"/>
      <c r="AA61" s="414" t="str">
        <f t="shared" si="44"/>
        <v/>
      </c>
      <c r="AB61" s="412" t="str">
        <f t="shared" si="44"/>
        <v/>
      </c>
      <c r="AC61" s="412" t="str">
        <f t="shared" si="44"/>
        <v/>
      </c>
      <c r="AD61" s="412" t="str">
        <f t="shared" si="44"/>
        <v/>
      </c>
      <c r="AE61" s="412" t="str">
        <f t="shared" si="44"/>
        <v/>
      </c>
      <c r="AF61" s="404"/>
      <c r="AG61" s="409"/>
      <c r="AH61" s="412" t="str">
        <f t="shared" si="45"/>
        <v/>
      </c>
    </row>
    <row r="62" spans="13:34" x14ac:dyDescent="0.25">
      <c r="M62" s="54" t="s">
        <v>272</v>
      </c>
      <c r="N62" s="30"/>
      <c r="O62" s="594" t="str">
        <f>IFERROR((P62*P45+W62*W45)/O45,"TBD")</f>
        <v>TBD</v>
      </c>
      <c r="P62" s="47" t="str">
        <f>IFERROR(SUMPRODUCT(Q62:T62,E$45:H$45)/D$45,"TBD")</f>
        <v>TBD</v>
      </c>
      <c r="Q62" s="175">
        <v>0</v>
      </c>
      <c r="R62" s="175">
        <v>0</v>
      </c>
      <c r="S62" s="175">
        <v>0</v>
      </c>
      <c r="T62" s="175">
        <v>0</v>
      </c>
      <c r="V62" s="30"/>
      <c r="W62" s="175">
        <v>0</v>
      </c>
      <c r="Y62" s="411"/>
      <c r="Z62" s="410" t="str">
        <f>IFERROR(C30/O62,"")</f>
        <v/>
      </c>
      <c r="AA62" s="410" t="str">
        <f t="shared" si="44"/>
        <v/>
      </c>
      <c r="AB62" s="410" t="str">
        <f t="shared" si="44"/>
        <v/>
      </c>
      <c r="AC62" s="410" t="str">
        <f t="shared" si="44"/>
        <v/>
      </c>
      <c r="AD62" s="410" t="str">
        <f t="shared" si="44"/>
        <v/>
      </c>
      <c r="AE62" s="410" t="str">
        <f t="shared" si="44"/>
        <v/>
      </c>
      <c r="AF62" s="404"/>
      <c r="AG62" s="411"/>
      <c r="AH62" s="410" t="str">
        <f t="shared" si="45"/>
        <v/>
      </c>
    </row>
    <row r="63" spans="13:34" x14ac:dyDescent="0.25">
      <c r="M63" s="56" t="s">
        <v>273</v>
      </c>
      <c r="N63" s="33"/>
      <c r="O63" s="33"/>
      <c r="P63" s="32" t="str">
        <f>IFERROR(P62-P60,"TBD")</f>
        <v>TBD</v>
      </c>
      <c r="Q63" s="32" t="str">
        <f>IFERROR(Q62-Q60,"TBD")</f>
        <v>TBD</v>
      </c>
      <c r="R63" s="32" t="str">
        <f>IFERROR(R62-R60,"TBD")</f>
        <v>TBD</v>
      </c>
      <c r="S63" s="32" t="str">
        <f>IFERROR(S62-S60,"TBD")</f>
        <v>TBD</v>
      </c>
      <c r="T63" s="32" t="str">
        <f>IFERROR(T62-T60,"TBD")</f>
        <v>TBD</v>
      </c>
      <c r="V63" s="33"/>
      <c r="W63" s="32" t="str">
        <f>IFERROR(W62-W60,"TBD")</f>
        <v>TBD</v>
      </c>
      <c r="Y63" s="409"/>
      <c r="Z63" s="409"/>
      <c r="AA63" s="412" t="str">
        <f t="shared" si="44"/>
        <v/>
      </c>
      <c r="AB63" s="412" t="str">
        <f t="shared" si="44"/>
        <v/>
      </c>
      <c r="AC63" s="412" t="str">
        <f t="shared" si="44"/>
        <v/>
      </c>
      <c r="AD63" s="412" t="str">
        <f t="shared" si="44"/>
        <v/>
      </c>
      <c r="AE63" s="412" t="str">
        <f t="shared" si="44"/>
        <v/>
      </c>
      <c r="AF63" s="404"/>
      <c r="AG63" s="409"/>
      <c r="AH63" s="412" t="str">
        <f t="shared" si="45"/>
        <v/>
      </c>
    </row>
    <row r="64" spans="13:34" x14ac:dyDescent="0.25">
      <c r="M64" s="57"/>
      <c r="Y64" s="404"/>
      <c r="Z64" s="404"/>
      <c r="AA64" s="404"/>
      <c r="AB64" s="404"/>
      <c r="AC64" s="404"/>
      <c r="AD64" s="404"/>
      <c r="AE64" s="404"/>
      <c r="AF64" s="404"/>
      <c r="AG64" s="404"/>
      <c r="AH64" s="404"/>
    </row>
    <row r="65" spans="1:34" x14ac:dyDescent="0.25">
      <c r="M65" s="54" t="s">
        <v>274</v>
      </c>
      <c r="N65" s="30"/>
      <c r="O65" s="47" t="str">
        <f>IFERROR((P65*P45+W65*W45)/O45,"TBD")</f>
        <v>TBD</v>
      </c>
      <c r="P65" s="47" t="str">
        <f>IFERROR(SUMPRODUCT(Q65:T65,E$45:H$45)/D$45,"TBD")</f>
        <v>TBD</v>
      </c>
      <c r="Q65" s="175">
        <v>0</v>
      </c>
      <c r="R65" s="175">
        <v>0</v>
      </c>
      <c r="S65" s="175">
        <v>0</v>
      </c>
      <c r="T65" s="175">
        <v>0</v>
      </c>
      <c r="V65" s="30"/>
      <c r="W65" s="175">
        <v>0</v>
      </c>
      <c r="Y65" s="411"/>
      <c r="Z65" s="410" t="str">
        <f t="shared" ref="Z65:AE66" si="47">IFERROR(C33/O65,"")</f>
        <v/>
      </c>
      <c r="AA65" s="410" t="str">
        <f t="shared" si="47"/>
        <v/>
      </c>
      <c r="AB65" s="410" t="str">
        <f t="shared" si="47"/>
        <v/>
      </c>
      <c r="AC65" s="410" t="str">
        <f t="shared" si="47"/>
        <v/>
      </c>
      <c r="AD65" s="410" t="str">
        <f t="shared" si="47"/>
        <v/>
      </c>
      <c r="AE65" s="410" t="str">
        <f t="shared" si="47"/>
        <v/>
      </c>
      <c r="AF65" s="404"/>
      <c r="AG65" s="411"/>
      <c r="AH65" s="410" t="str">
        <f>IFERROR(K33/W65,"")</f>
        <v/>
      </c>
    </row>
    <row r="66" spans="1:34" x14ac:dyDescent="0.25">
      <c r="M66" s="56" t="s">
        <v>275</v>
      </c>
      <c r="N66" s="33"/>
      <c r="O66" s="32" t="str">
        <f>IFERROR((P66*P45+W66*W45)/O45,"TBD")</f>
        <v>TBD</v>
      </c>
      <c r="P66" s="32" t="str">
        <f>IFERROR(SUMPRODUCT(Q66:T66,E$45:H$45)/D$45,"TBD")</f>
        <v>TBD</v>
      </c>
      <c r="Q66" s="176">
        <v>0</v>
      </c>
      <c r="R66" s="176">
        <v>0</v>
      </c>
      <c r="S66" s="176">
        <v>0</v>
      </c>
      <c r="T66" s="176">
        <v>0</v>
      </c>
      <c r="V66" s="33"/>
      <c r="W66" s="176">
        <v>0</v>
      </c>
      <c r="Y66" s="409"/>
      <c r="Z66" s="412" t="str">
        <f t="shared" si="47"/>
        <v/>
      </c>
      <c r="AA66" s="412" t="str">
        <f t="shared" si="47"/>
        <v/>
      </c>
      <c r="AB66" s="412" t="str">
        <f t="shared" si="47"/>
        <v/>
      </c>
      <c r="AC66" s="412" t="str">
        <f t="shared" si="47"/>
        <v/>
      </c>
      <c r="AD66" s="412" t="str">
        <f t="shared" si="47"/>
        <v/>
      </c>
      <c r="AE66" s="412" t="str">
        <f t="shared" si="47"/>
        <v/>
      </c>
      <c r="AF66" s="404"/>
      <c r="AG66" s="409"/>
      <c r="AH66" s="412" t="str">
        <f>IFERROR(K34/W66,"")</f>
        <v/>
      </c>
    </row>
    <row r="67" spans="1:34" x14ac:dyDescent="0.25">
      <c r="M67" s="57"/>
      <c r="Y67" s="404"/>
      <c r="Z67" s="404"/>
      <c r="AA67" s="404"/>
      <c r="AB67" s="415"/>
      <c r="AC67" s="415"/>
      <c r="AD67" s="415"/>
      <c r="AE67" s="415"/>
      <c r="AF67" s="404"/>
      <c r="AG67" s="404"/>
      <c r="AH67" s="415"/>
    </row>
    <row r="68" spans="1:34" x14ac:dyDescent="0.25">
      <c r="M68" s="53" t="s">
        <v>276</v>
      </c>
      <c r="N68" s="22"/>
      <c r="O68" s="48" t="str">
        <f>IFERROR((P68*P45+W68*W45)/O45,"TBD")</f>
        <v>TBD</v>
      </c>
      <c r="P68" s="48" t="str">
        <f>IFERROR(SUMPRODUCT(Q68:T68,E$45:H$45)/D$45,"TBD")</f>
        <v>TBD</v>
      </c>
      <c r="Q68" s="177">
        <v>0</v>
      </c>
      <c r="R68" s="177">
        <v>0</v>
      </c>
      <c r="S68" s="177">
        <v>0</v>
      </c>
      <c r="T68" s="177">
        <v>0</v>
      </c>
      <c r="V68" s="22"/>
      <c r="W68" s="177">
        <v>0</v>
      </c>
      <c r="Y68" s="402"/>
      <c r="Z68" s="403" t="str">
        <f t="shared" ref="Z68:AE68" si="48">IFERROR(C36/O68,"")</f>
        <v/>
      </c>
      <c r="AA68" s="403" t="str">
        <f t="shared" si="48"/>
        <v/>
      </c>
      <c r="AB68" s="403" t="str">
        <f t="shared" si="48"/>
        <v/>
      </c>
      <c r="AC68" s="403" t="str">
        <f t="shared" si="48"/>
        <v/>
      </c>
      <c r="AD68" s="403" t="str">
        <f t="shared" si="48"/>
        <v/>
      </c>
      <c r="AE68" s="403" t="str">
        <f t="shared" si="48"/>
        <v/>
      </c>
      <c r="AF68" s="404"/>
      <c r="AG68" s="402"/>
      <c r="AH68" s="403" t="str">
        <f>IFERROR(K36/W68,"")</f>
        <v/>
      </c>
    </row>
    <row r="69" spans="1:34" x14ac:dyDescent="0.25">
      <c r="M69" s="57"/>
      <c r="Y69" s="404"/>
      <c r="Z69" s="404"/>
      <c r="AA69" s="404"/>
      <c r="AB69" s="404"/>
      <c r="AC69" s="404"/>
      <c r="AD69" s="404"/>
      <c r="AE69" s="404"/>
      <c r="AF69" s="404"/>
      <c r="AG69" s="404"/>
      <c r="AH69" s="404"/>
    </row>
    <row r="70" spans="1:34" x14ac:dyDescent="0.25">
      <c r="M70" s="53" t="s">
        <v>277</v>
      </c>
      <c r="N70" s="22"/>
      <c r="O70" s="48" t="str">
        <f>IFERROR((P70*P45+W70*W45)/O45,"TBD")</f>
        <v>TBD</v>
      </c>
      <c r="P70" s="48" t="str">
        <f>IFERROR(SUMPRODUCT(Q70:T70,E$45:H$45)/D$45,"TBD")</f>
        <v>TBD</v>
      </c>
      <c r="Q70" s="48">
        <f>SUM(Q62,Q65:Q66,Q68)</f>
        <v>0</v>
      </c>
      <c r="R70" s="48">
        <f t="shared" ref="R70:T70" si="49">SUM(R62,R65:R66,R68)</f>
        <v>0</v>
      </c>
      <c r="S70" s="48">
        <f t="shared" si="49"/>
        <v>0</v>
      </c>
      <c r="T70" s="48">
        <f t="shared" si="49"/>
        <v>0</v>
      </c>
      <c r="V70" s="22"/>
      <c r="W70" s="48">
        <f t="shared" ref="W70" si="50">SUM(W62,W65:W66,W68)</f>
        <v>0</v>
      </c>
      <c r="Y70" s="402"/>
      <c r="Z70" s="403" t="str">
        <f t="shared" ref="Z70:AE70" si="51">IFERROR(C38/O70,"")</f>
        <v/>
      </c>
      <c r="AA70" s="403" t="str">
        <f t="shared" si="51"/>
        <v/>
      </c>
      <c r="AB70" s="403" t="str">
        <f t="shared" si="51"/>
        <v/>
      </c>
      <c r="AC70" s="403" t="str">
        <f t="shared" si="51"/>
        <v/>
      </c>
      <c r="AD70" s="403" t="str">
        <f t="shared" si="51"/>
        <v/>
      </c>
      <c r="AE70" s="403" t="str">
        <f t="shared" si="51"/>
        <v/>
      </c>
      <c r="AF70" s="404"/>
      <c r="AG70" s="402"/>
      <c r="AH70" s="403" t="str">
        <f>IFERROR(K38/W70,"")</f>
        <v/>
      </c>
    </row>
    <row r="71" spans="1:34" x14ac:dyDescent="0.25">
      <c r="E71" s="34"/>
      <c r="F71" s="34"/>
      <c r="G71" s="34"/>
      <c r="H71" s="34"/>
      <c r="K71" s="34"/>
    </row>
    <row r="72" spans="1:34" x14ac:dyDescent="0.25">
      <c r="E72" s="34"/>
      <c r="F72" s="34"/>
      <c r="G72" s="34"/>
      <c r="H72" s="34"/>
      <c r="K72" s="34"/>
    </row>
    <row r="73" spans="1:34" ht="21.75" thickBot="1" x14ac:dyDescent="0.4">
      <c r="A73" s="131" t="s">
        <v>61</v>
      </c>
      <c r="B73" s="131"/>
      <c r="C73" s="131"/>
      <c r="D73" s="134"/>
      <c r="E73" s="131"/>
    </row>
    <row r="74" spans="1:34" ht="16.5" thickTop="1" x14ac:dyDescent="0.25">
      <c r="A74" s="82"/>
      <c r="B74" s="82"/>
      <c r="C74" s="82"/>
      <c r="D74" s="82"/>
      <c r="E74" s="82"/>
      <c r="F74" s="82"/>
      <c r="G74" s="82"/>
      <c r="H74" s="82"/>
      <c r="I74" s="82"/>
      <c r="J74" s="82"/>
      <c r="K74" s="82"/>
      <c r="L74" s="82"/>
      <c r="M74" s="82"/>
      <c r="N74" s="82"/>
      <c r="O74" s="82"/>
    </row>
    <row r="75" spans="1:34" ht="15.75" x14ac:dyDescent="0.25">
      <c r="A75" s="605"/>
      <c r="B75" s="606"/>
      <c r="C75" s="606"/>
      <c r="D75" s="606"/>
      <c r="E75" s="606"/>
      <c r="F75" s="606"/>
      <c r="G75" s="606"/>
      <c r="H75" s="606"/>
      <c r="I75" s="606"/>
      <c r="J75" s="606"/>
      <c r="K75" s="606"/>
      <c r="L75" s="606"/>
      <c r="M75" s="606"/>
      <c r="N75" s="606"/>
      <c r="O75" s="606"/>
      <c r="P75" s="606"/>
      <c r="Q75" s="606"/>
      <c r="R75" s="606"/>
      <c r="S75" s="606"/>
      <c r="T75" s="606"/>
      <c r="U75" s="606"/>
      <c r="V75" s="606"/>
      <c r="W75" s="606"/>
    </row>
    <row r="76" spans="1:34" ht="15.75" x14ac:dyDescent="0.25">
      <c r="A76" s="605"/>
      <c r="B76" s="606"/>
      <c r="C76" s="606"/>
      <c r="D76" s="606"/>
      <c r="E76" s="606"/>
      <c r="F76" s="606"/>
      <c r="G76" s="606"/>
      <c r="H76" s="606"/>
      <c r="I76" s="606"/>
      <c r="J76" s="606"/>
      <c r="K76" s="606"/>
      <c r="L76" s="606"/>
      <c r="M76" s="606"/>
      <c r="N76" s="606"/>
      <c r="O76" s="606"/>
      <c r="P76" s="606"/>
      <c r="Q76" s="606"/>
      <c r="R76" s="606"/>
      <c r="S76" s="606"/>
      <c r="T76" s="606"/>
      <c r="U76" s="606"/>
      <c r="V76" s="606"/>
      <c r="W76" s="606"/>
    </row>
    <row r="77" spans="1:34" ht="15.75" x14ac:dyDescent="0.25">
      <c r="A77" s="605"/>
      <c r="B77" s="606"/>
      <c r="C77" s="606"/>
      <c r="D77" s="606"/>
      <c r="E77" s="606"/>
      <c r="F77" s="606"/>
      <c r="G77" s="606"/>
      <c r="H77" s="606"/>
      <c r="I77" s="606"/>
      <c r="J77" s="606"/>
      <c r="K77" s="606"/>
      <c r="L77" s="606"/>
      <c r="M77" s="606"/>
      <c r="N77" s="606"/>
      <c r="O77" s="606"/>
      <c r="P77" s="606"/>
      <c r="Q77" s="606"/>
      <c r="R77" s="606"/>
      <c r="S77" s="606"/>
      <c r="T77" s="606"/>
      <c r="U77" s="606"/>
      <c r="V77" s="606"/>
      <c r="W77" s="606"/>
    </row>
  </sheetData>
  <mergeCells count="52">
    <mergeCell ref="AH43:AH44"/>
    <mergeCell ref="W43:W44"/>
    <mergeCell ref="Y42:Y44"/>
    <mergeCell ref="AG42:AG44"/>
    <mergeCell ref="Z43:Z44"/>
    <mergeCell ref="AA43:AA44"/>
    <mergeCell ref="AB43:AB44"/>
    <mergeCell ref="AC43:AC44"/>
    <mergeCell ref="AD43:AD44"/>
    <mergeCell ref="AE43:AE44"/>
    <mergeCell ref="N42:N44"/>
    <mergeCell ref="V42:V44"/>
    <mergeCell ref="O43:O44"/>
    <mergeCell ref="P43:P44"/>
    <mergeCell ref="Q43:Q44"/>
    <mergeCell ref="R43:R44"/>
    <mergeCell ref="S43:S44"/>
    <mergeCell ref="T43:T44"/>
    <mergeCell ref="A75:W75"/>
    <mergeCell ref="A76:W76"/>
    <mergeCell ref="A77:W77"/>
    <mergeCell ref="AH11:AH12"/>
    <mergeCell ref="Y10:Y12"/>
    <mergeCell ref="AG10:AG12"/>
    <mergeCell ref="Z11:Z12"/>
    <mergeCell ref="AA11:AA12"/>
    <mergeCell ref="AB11:AB12"/>
    <mergeCell ref="AC11:AC12"/>
    <mergeCell ref="AD11:AD12"/>
    <mergeCell ref="AE11:AE12"/>
    <mergeCell ref="O11:O12"/>
    <mergeCell ref="V10:V12"/>
    <mergeCell ref="W11:W12"/>
    <mergeCell ref="T11:T12"/>
    <mergeCell ref="B6:M6"/>
    <mergeCell ref="B5:M5"/>
    <mergeCell ref="B4:M4"/>
    <mergeCell ref="B3:M3"/>
    <mergeCell ref="B10:B12"/>
    <mergeCell ref="J10:J12"/>
    <mergeCell ref="D11:D12"/>
    <mergeCell ref="E11:E12"/>
    <mergeCell ref="F11:F12"/>
    <mergeCell ref="G11:G12"/>
    <mergeCell ref="H11:H12"/>
    <mergeCell ref="C11:C12"/>
    <mergeCell ref="K11:K12"/>
    <mergeCell ref="N10:N12"/>
    <mergeCell ref="P11:P12"/>
    <mergeCell ref="Q11:Q12"/>
    <mergeCell ref="R11:R12"/>
    <mergeCell ref="S11:S12"/>
  </mergeCells>
  <printOptions horizontalCentered="1"/>
  <pageMargins left="0.25" right="0.25" top="0.75" bottom="0.75" header="0.25" footer="0.25"/>
  <pageSetup scale="30" orientation="landscape" horizontalDpi="1200" verticalDpi="1200" r:id="rId1"/>
  <headerFooter>
    <oddFooter>&amp;L2026 IND &amp;&amp; SG ACA MEDICAL RATE FILINGS -- COMMON EXHIBITS&amp;R04/07/2025</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C0B8B-6A83-4801-90FE-EC18DACBE7AD}">
  <sheetPr codeName="Sheet9">
    <tabColor theme="9" tint="-0.499984740745262"/>
    <pageSetUpPr fitToPage="1"/>
  </sheetPr>
  <dimension ref="A1:AG46"/>
  <sheetViews>
    <sheetView showGridLines="0" zoomScale="70" zoomScaleNormal="70" workbookViewId="0">
      <pane xSplit="1" ySplit="11" topLeftCell="B12" activePane="bottomRight" state="frozen"/>
      <selection pane="topRight"/>
      <selection pane="bottomLeft"/>
      <selection pane="bottomRight" activeCell="B12" sqref="B12"/>
    </sheetView>
  </sheetViews>
  <sheetFormatPr defaultRowHeight="15" x14ac:dyDescent="0.25"/>
  <cols>
    <col min="1" max="1" width="59.140625" bestFit="1" customWidth="1"/>
    <col min="2" max="2" width="9.85546875" customWidth="1"/>
    <col min="4" max="4" width="9.85546875" bestFit="1" customWidth="1"/>
    <col min="6" max="6" width="9.85546875" bestFit="1" customWidth="1"/>
    <col min="8" max="8" width="9.85546875" bestFit="1" customWidth="1"/>
    <col min="10" max="10" width="9.85546875" bestFit="1" customWidth="1"/>
    <col min="12" max="12" width="9.85546875" bestFit="1" customWidth="1"/>
    <col min="14" max="14" width="9.85546875" bestFit="1" customWidth="1"/>
    <col min="16" max="16" width="9.85546875" customWidth="1"/>
    <col min="18" max="18" width="9.85546875" bestFit="1" customWidth="1"/>
    <col min="20" max="20" width="9.85546875" bestFit="1" customWidth="1"/>
    <col min="22" max="22" width="9.85546875" bestFit="1" customWidth="1"/>
    <col min="24" max="24" width="9.85546875" bestFit="1" customWidth="1"/>
    <col min="26" max="26" width="9.85546875" bestFit="1" customWidth="1"/>
    <col min="28" max="28" width="9.85546875" bestFit="1" customWidth="1"/>
    <col min="30" max="30" width="9.85546875" bestFit="1" customWidth="1"/>
    <col min="32" max="32" width="9.85546875" bestFit="1" customWidth="1"/>
  </cols>
  <sheetData>
    <row r="1" spans="1:33" ht="26.25" x14ac:dyDescent="0.4">
      <c r="A1" s="270" t="s">
        <v>278</v>
      </c>
    </row>
    <row r="2" spans="1:33" x14ac:dyDescent="0.25">
      <c r="A2" s="259"/>
    </row>
    <row r="3" spans="1:33" ht="18.75" x14ac:dyDescent="0.3">
      <c r="A3" s="98" t="s">
        <v>38</v>
      </c>
      <c r="B3" s="625" t="str">
        <f>CarrierName</f>
        <v>ABC Company</v>
      </c>
      <c r="C3" s="627"/>
      <c r="D3" s="627"/>
      <c r="E3" s="627"/>
      <c r="F3" s="627"/>
      <c r="G3" s="627"/>
      <c r="H3" s="627"/>
      <c r="I3" s="627"/>
      <c r="J3" s="627"/>
      <c r="K3" s="627"/>
      <c r="L3" s="627"/>
      <c r="M3" s="628"/>
    </row>
    <row r="4" spans="1:33" ht="18.75" x14ac:dyDescent="0.3">
      <c r="A4" s="98" t="s">
        <v>0</v>
      </c>
      <c r="B4" s="625" t="str">
        <f>Market</f>
        <v>Individual</v>
      </c>
      <c r="C4" s="627"/>
      <c r="D4" s="627"/>
      <c r="E4" s="627"/>
      <c r="F4" s="627"/>
      <c r="G4" s="627"/>
      <c r="H4" s="627"/>
      <c r="I4" s="627"/>
      <c r="J4" s="627"/>
      <c r="K4" s="627"/>
      <c r="L4" s="627"/>
      <c r="M4" s="628"/>
    </row>
    <row r="5" spans="1:33" ht="18.75" x14ac:dyDescent="0.3">
      <c r="A5" s="98" t="s">
        <v>40</v>
      </c>
      <c r="B5" s="625">
        <f>PlanYear</f>
        <v>2026</v>
      </c>
      <c r="C5" s="627"/>
      <c r="D5" s="627"/>
      <c r="E5" s="627"/>
      <c r="F5" s="627"/>
      <c r="G5" s="627"/>
      <c r="H5" s="627"/>
      <c r="I5" s="627"/>
      <c r="J5" s="627"/>
      <c r="K5" s="627"/>
      <c r="L5" s="627"/>
      <c r="M5" s="628"/>
    </row>
    <row r="6" spans="1:33" ht="18.75" x14ac:dyDescent="0.3">
      <c r="A6" s="98" t="s">
        <v>41</v>
      </c>
      <c r="B6" s="625">
        <f>ExperYear</f>
        <v>2024</v>
      </c>
      <c r="C6" s="627"/>
      <c r="D6" s="627"/>
      <c r="E6" s="627"/>
      <c r="F6" s="627"/>
      <c r="G6" s="627"/>
      <c r="H6" s="627"/>
      <c r="I6" s="627"/>
      <c r="J6" s="627"/>
      <c r="K6" s="627"/>
      <c r="L6" s="627"/>
      <c r="M6" s="628"/>
    </row>
    <row r="7" spans="1:33" x14ac:dyDescent="0.25">
      <c r="A7" s="259"/>
    </row>
    <row r="9" spans="1:33" ht="30" x14ac:dyDescent="0.25">
      <c r="B9" s="43" t="s">
        <v>185</v>
      </c>
      <c r="C9" s="19"/>
      <c r="D9" s="19"/>
      <c r="E9" s="19"/>
      <c r="F9" s="19"/>
      <c r="G9" s="19"/>
      <c r="H9" s="59" t="s">
        <v>279</v>
      </c>
      <c r="I9" s="19"/>
      <c r="J9" s="19"/>
      <c r="K9" s="19"/>
      <c r="L9" s="19"/>
      <c r="M9" s="19"/>
      <c r="N9" s="19"/>
      <c r="O9" s="19"/>
      <c r="P9" s="19"/>
      <c r="Q9" s="19"/>
      <c r="R9" s="59" t="s">
        <v>280</v>
      </c>
      <c r="S9" s="59"/>
      <c r="T9" s="59"/>
      <c r="U9" s="59"/>
      <c r="V9" s="59"/>
      <c r="W9" s="59"/>
      <c r="X9" s="59"/>
      <c r="Y9" s="59"/>
      <c r="Z9" s="632" t="str">
        <f>F10&amp;" EXPERIENCE to "&amp;P10&amp;" PROJECTED"</f>
        <v>2024 EXPERIENCE to 2026 PROJECTED</v>
      </c>
      <c r="AA9" s="633"/>
      <c r="AB9" s="59" t="s">
        <v>187</v>
      </c>
      <c r="AC9" s="59"/>
      <c r="AD9" s="59"/>
      <c r="AE9" s="59"/>
      <c r="AF9" s="59"/>
      <c r="AG9" s="59"/>
    </row>
    <row r="10" spans="1:33" x14ac:dyDescent="0.25">
      <c r="B10" s="19">
        <f>D10-1</f>
        <v>2022</v>
      </c>
      <c r="C10" s="19"/>
      <c r="D10" s="19">
        <f>F10-1</f>
        <v>2023</v>
      </c>
      <c r="E10" s="19"/>
      <c r="F10" s="19">
        <f>ExperYear</f>
        <v>2024</v>
      </c>
      <c r="G10" s="19"/>
      <c r="H10" s="19">
        <f>J10-1</f>
        <v>2022</v>
      </c>
      <c r="I10" s="19"/>
      <c r="J10" s="19">
        <f>L10-1</f>
        <v>2023</v>
      </c>
      <c r="K10" s="19"/>
      <c r="L10" s="19">
        <f>N10-1</f>
        <v>2024</v>
      </c>
      <c r="M10" s="19"/>
      <c r="N10" s="19">
        <f>P10-1</f>
        <v>2025</v>
      </c>
      <c r="O10" s="19"/>
      <c r="P10" s="19">
        <f>PlanYear</f>
        <v>2026</v>
      </c>
      <c r="Q10" s="19"/>
      <c r="R10" s="19" t="str">
        <f>H10&amp;" to "&amp;J10</f>
        <v>2022 to 2023</v>
      </c>
      <c r="S10" s="19"/>
      <c r="T10" s="19" t="str">
        <f>J10&amp;" to "&amp;L10</f>
        <v>2023 to 2024</v>
      </c>
      <c r="U10" s="19"/>
      <c r="V10" s="19" t="str">
        <f>L10&amp;" to "&amp;N10</f>
        <v>2024 to 2025</v>
      </c>
      <c r="W10" s="19"/>
      <c r="X10" s="19" t="str">
        <f>N10&amp;" to "&amp;P10</f>
        <v>2025 to 2026</v>
      </c>
      <c r="Y10" s="19"/>
      <c r="Z10" s="634"/>
      <c r="AA10" s="635"/>
      <c r="AB10" s="19">
        <f>B10</f>
        <v>2022</v>
      </c>
      <c r="AC10" s="19"/>
      <c r="AD10" s="19">
        <f>D10</f>
        <v>2023</v>
      </c>
      <c r="AE10" s="19"/>
      <c r="AF10" s="19">
        <f>F10</f>
        <v>2024</v>
      </c>
      <c r="AG10" s="19"/>
    </row>
    <row r="11" spans="1:33" ht="30" x14ac:dyDescent="0.25">
      <c r="A11" s="20" t="s">
        <v>65</v>
      </c>
      <c r="B11" s="21" t="s">
        <v>281</v>
      </c>
      <c r="C11" s="21" t="s">
        <v>282</v>
      </c>
      <c r="D11" s="21" t="s">
        <v>281</v>
      </c>
      <c r="E11" s="21" t="s">
        <v>282</v>
      </c>
      <c r="F11" s="21" t="s">
        <v>281</v>
      </c>
      <c r="G11" s="21" t="s">
        <v>282</v>
      </c>
      <c r="H11" s="21" t="s">
        <v>281</v>
      </c>
      <c r="I11" s="21" t="s">
        <v>282</v>
      </c>
      <c r="J11" s="21" t="s">
        <v>281</v>
      </c>
      <c r="K11" s="21" t="s">
        <v>282</v>
      </c>
      <c r="L11" s="21" t="s">
        <v>281</v>
      </c>
      <c r="M11" s="21" t="s">
        <v>282</v>
      </c>
      <c r="N11" s="21" t="s">
        <v>281</v>
      </c>
      <c r="O11" s="21" t="s">
        <v>282</v>
      </c>
      <c r="P11" s="21" t="s">
        <v>281</v>
      </c>
      <c r="Q11" s="21" t="s">
        <v>282</v>
      </c>
      <c r="R11" s="21" t="s">
        <v>281</v>
      </c>
      <c r="S11" s="21" t="s">
        <v>282</v>
      </c>
      <c r="T11" s="21" t="s">
        <v>281</v>
      </c>
      <c r="U11" s="21" t="s">
        <v>282</v>
      </c>
      <c r="V11" s="21" t="s">
        <v>281</v>
      </c>
      <c r="W11" s="21" t="s">
        <v>282</v>
      </c>
      <c r="X11" s="21" t="s">
        <v>281</v>
      </c>
      <c r="Y11" s="21" t="s">
        <v>282</v>
      </c>
      <c r="Z11" s="21" t="s">
        <v>281</v>
      </c>
      <c r="AA11" s="21" t="s">
        <v>282</v>
      </c>
      <c r="AB11" s="21" t="s">
        <v>281</v>
      </c>
      <c r="AC11" s="21" t="s">
        <v>282</v>
      </c>
      <c r="AD11" s="21" t="s">
        <v>281</v>
      </c>
      <c r="AE11" s="21" t="s">
        <v>282</v>
      </c>
      <c r="AF11" s="21" t="s">
        <v>281</v>
      </c>
      <c r="AG11" s="21" t="s">
        <v>282</v>
      </c>
    </row>
    <row r="12" spans="1:33" x14ac:dyDescent="0.25">
      <c r="A12" t="s">
        <v>283</v>
      </c>
      <c r="B12" s="16"/>
      <c r="C12" s="11"/>
      <c r="D12" s="10"/>
      <c r="E12" s="13"/>
      <c r="F12" s="12"/>
      <c r="G12" s="17"/>
      <c r="H12" s="16"/>
      <c r="I12" s="11"/>
      <c r="J12" s="10"/>
      <c r="K12" s="13"/>
      <c r="L12" s="12"/>
      <c r="M12" s="11"/>
      <c r="N12" s="10"/>
      <c r="O12" s="13"/>
      <c r="P12" s="12"/>
      <c r="Q12" s="17"/>
      <c r="R12" s="16"/>
      <c r="S12" s="11"/>
      <c r="T12" s="10"/>
      <c r="U12" s="13"/>
      <c r="V12" s="12"/>
      <c r="W12" s="11"/>
      <c r="X12" s="10"/>
      <c r="Y12" s="17"/>
      <c r="Z12" s="16"/>
      <c r="AA12" s="17"/>
      <c r="AB12" s="16"/>
      <c r="AC12" s="11"/>
      <c r="AD12" s="10"/>
      <c r="AE12" s="13"/>
      <c r="AF12" s="12"/>
      <c r="AG12" s="17"/>
    </row>
    <row r="13" spans="1:33" x14ac:dyDescent="0.25">
      <c r="A13" s="8" t="s">
        <v>284</v>
      </c>
      <c r="B13" s="179" t="str">
        <f>IFERROR(C13/C$38,"TBD ")</f>
        <v xml:space="preserve">TBD </v>
      </c>
      <c r="C13" s="180">
        <v>0</v>
      </c>
      <c r="D13" s="181" t="str">
        <f t="shared" ref="D13:D14" si="0">IFERROR(E13/E$38,"TBD ")</f>
        <v xml:space="preserve">TBD </v>
      </c>
      <c r="E13" s="182">
        <v>0</v>
      </c>
      <c r="F13" s="183" t="str">
        <f t="shared" ref="F13:F14" si="1">IFERROR(G13/G$38,"TBD ")</f>
        <v xml:space="preserve">TBD </v>
      </c>
      <c r="G13" s="184">
        <v>0</v>
      </c>
      <c r="H13" s="179" t="str">
        <f t="shared" ref="H13:H14" si="2">IFERROR(I13/I$38,"TBD ")</f>
        <v xml:space="preserve">TBD </v>
      </c>
      <c r="I13" s="180">
        <v>0</v>
      </c>
      <c r="J13" s="181" t="str">
        <f t="shared" ref="J13" si="3">IFERROR(K13/K$38,"TBD ")</f>
        <v xml:space="preserve">TBD </v>
      </c>
      <c r="K13" s="182">
        <v>0</v>
      </c>
      <c r="L13" s="183" t="str">
        <f t="shared" ref="L13" si="4">IFERROR(M13/M$38,"TBD ")</f>
        <v xml:space="preserve">TBD </v>
      </c>
      <c r="M13" s="180">
        <v>0</v>
      </c>
      <c r="N13" s="181" t="str">
        <f t="shared" ref="N13" si="5">IFERROR(O13/O$38,"TBD ")</f>
        <v xml:space="preserve">TBD </v>
      </c>
      <c r="O13" s="182">
        <v>0</v>
      </c>
      <c r="P13" s="183" t="str">
        <f t="shared" ref="P13" si="6">IFERROR(Q13/Q$38,"TBD ")</f>
        <v xml:space="preserve">TBD </v>
      </c>
      <c r="Q13" s="184">
        <v>0</v>
      </c>
      <c r="R13" s="380" t="str">
        <f>IFERROR(J13-H13,"TBD")</f>
        <v>TBD</v>
      </c>
      <c r="S13" s="381" t="str">
        <f>IFERROR(K13/I13-1,"TBD")</f>
        <v>TBD</v>
      </c>
      <c r="T13" s="388" t="str">
        <f>IFERROR(L13-J13,"TBD")</f>
        <v>TBD</v>
      </c>
      <c r="U13" s="389" t="str">
        <f>IFERROR(M13/K13-1,"TBD")</f>
        <v>TBD</v>
      </c>
      <c r="V13" s="390" t="str">
        <f>IFERROR(N13-L13,"TBD")</f>
        <v>TBD</v>
      </c>
      <c r="W13" s="381" t="str">
        <f>IFERROR(O13/M13-1,"TBD")</f>
        <v>TBD</v>
      </c>
      <c r="X13" s="388" t="str">
        <f>IFERROR(P13-N13,"TBD")</f>
        <v>TBD</v>
      </c>
      <c r="Y13" s="391" t="str">
        <f>IFERROR(Q13/O13-1,"TBD")</f>
        <v>TBD</v>
      </c>
      <c r="Z13" s="380" t="str">
        <f>IFERROR(P13-F13,"TBD")</f>
        <v>TBD</v>
      </c>
      <c r="AA13" s="391" t="str">
        <f>IFERROR(Q13/G13-1,"TBD")</f>
        <v>TBD</v>
      </c>
      <c r="AB13" s="380" t="str">
        <f>IFERROR(H13-B13,"TBD")</f>
        <v>TBD</v>
      </c>
      <c r="AC13" s="390" t="str">
        <f>IFERROR(I13/C13-1,"TBD")</f>
        <v>TBD</v>
      </c>
      <c r="AD13" s="388" t="str">
        <f>IFERROR(J13-D13,"TBD")</f>
        <v>TBD</v>
      </c>
      <c r="AE13" s="389" t="str">
        <f>IFERROR(K13/E13-1,"TBD")</f>
        <v>TBD</v>
      </c>
      <c r="AF13" s="390" t="str">
        <f>IFERROR(L13-F13,"TBD")</f>
        <v>TBD</v>
      </c>
      <c r="AG13" s="391" t="str">
        <f>IFERROR(M13/G13-1,"TBD")</f>
        <v>TBD</v>
      </c>
    </row>
    <row r="14" spans="1:33" x14ac:dyDescent="0.25">
      <c r="A14" s="8" t="s">
        <v>285</v>
      </c>
      <c r="B14" s="179" t="str">
        <f>IFERROR(C14/C$38,"TBD ")</f>
        <v xml:space="preserve">TBD </v>
      </c>
      <c r="C14" s="180">
        <v>0</v>
      </c>
      <c r="D14" s="181" t="str">
        <f t="shared" si="0"/>
        <v xml:space="preserve">TBD </v>
      </c>
      <c r="E14" s="182">
        <v>0</v>
      </c>
      <c r="F14" s="183" t="str">
        <f t="shared" si="1"/>
        <v xml:space="preserve">TBD </v>
      </c>
      <c r="G14" s="184">
        <v>0</v>
      </c>
      <c r="H14" s="179" t="str">
        <f t="shared" si="2"/>
        <v xml:space="preserve">TBD </v>
      </c>
      <c r="I14" s="180">
        <v>0</v>
      </c>
      <c r="J14" s="181" t="str">
        <f t="shared" ref="J14" si="7">IFERROR(K14/K$38,"TBD ")</f>
        <v xml:space="preserve">TBD </v>
      </c>
      <c r="K14" s="182">
        <v>0</v>
      </c>
      <c r="L14" s="183" t="str">
        <f t="shared" ref="L14" si="8">IFERROR(M14/M$38,"TBD ")</f>
        <v xml:space="preserve">TBD </v>
      </c>
      <c r="M14" s="180">
        <v>0</v>
      </c>
      <c r="N14" s="181" t="str">
        <f t="shared" ref="N14" si="9">IFERROR(O14/O$38,"TBD ")</f>
        <v xml:space="preserve">TBD </v>
      </c>
      <c r="O14" s="182">
        <v>0</v>
      </c>
      <c r="P14" s="183" t="str">
        <f t="shared" ref="P14" si="10">IFERROR(Q14/Q$38,"TBD ")</f>
        <v xml:space="preserve">TBD </v>
      </c>
      <c r="Q14" s="184">
        <v>0</v>
      </c>
      <c r="R14" s="380" t="str">
        <f t="shared" ref="R14:R18" si="11">IFERROR(J14-H14,"TBD")</f>
        <v>TBD</v>
      </c>
      <c r="S14" s="381" t="str">
        <f t="shared" ref="S14:S18" si="12">IFERROR(K14/I14-1,"TBD")</f>
        <v>TBD</v>
      </c>
      <c r="T14" s="388" t="str">
        <f t="shared" ref="T14:T18" si="13">IFERROR(L14-J14,"TBD")</f>
        <v>TBD</v>
      </c>
      <c r="U14" s="389" t="str">
        <f t="shared" ref="U14:U18" si="14">IFERROR(M14/K14-1,"TBD")</f>
        <v>TBD</v>
      </c>
      <c r="V14" s="390" t="str">
        <f t="shared" ref="V14:V18" si="15">IFERROR(N14-L14,"TBD")</f>
        <v>TBD</v>
      </c>
      <c r="W14" s="381" t="str">
        <f t="shared" ref="W14:W18" si="16">IFERROR(O14/M14-1,"TBD")</f>
        <v>TBD</v>
      </c>
      <c r="X14" s="388" t="str">
        <f t="shared" ref="X14:X18" si="17">IFERROR(P14-N14,"TBD")</f>
        <v>TBD</v>
      </c>
      <c r="Y14" s="391" t="str">
        <f t="shared" ref="Y14:Y18" si="18">IFERROR(Q14/O14-1,"TBD")</f>
        <v>TBD</v>
      </c>
      <c r="Z14" s="380" t="str">
        <f t="shared" ref="Z14:Z18" si="19">IFERROR(P14-F14,"TBD")</f>
        <v>TBD</v>
      </c>
      <c r="AA14" s="391" t="str">
        <f t="shared" ref="AA14:AA18" si="20">IFERROR(Q14/G14-1,"TBD")</f>
        <v>TBD</v>
      </c>
      <c r="AB14" s="380" t="str">
        <f t="shared" ref="AB14:AB18" si="21">IFERROR(H14-B14,"TBD")</f>
        <v>TBD</v>
      </c>
      <c r="AC14" s="390" t="str">
        <f t="shared" ref="AC14:AC18" si="22">IFERROR(I14/C14-1,"TBD")</f>
        <v>TBD</v>
      </c>
      <c r="AD14" s="388" t="str">
        <f t="shared" ref="AD14:AD18" si="23">IFERROR(J14-D14,"TBD")</f>
        <v>TBD</v>
      </c>
      <c r="AE14" s="389" t="str">
        <f t="shared" ref="AE14:AE18" si="24">IFERROR(K14/E14-1,"TBD")</f>
        <v>TBD</v>
      </c>
      <c r="AF14" s="390" t="str">
        <f t="shared" ref="AF14:AF18" si="25">IFERROR(L14-F14,"TBD")</f>
        <v>TBD</v>
      </c>
      <c r="AG14" s="391" t="str">
        <f t="shared" ref="AG14:AG18" si="26">IFERROR(M14/G14-1,"TBD")</f>
        <v>TBD</v>
      </c>
    </row>
    <row r="15" spans="1:33" x14ac:dyDescent="0.25">
      <c r="A15" s="8" t="s">
        <v>286</v>
      </c>
      <c r="B15" s="185">
        <v>0</v>
      </c>
      <c r="C15" s="141">
        <f>B15*C$38</f>
        <v>0</v>
      </c>
      <c r="D15" s="186">
        <v>0</v>
      </c>
      <c r="E15" s="142">
        <f>D15*E$38</f>
        <v>0</v>
      </c>
      <c r="F15" s="187">
        <v>0</v>
      </c>
      <c r="G15" s="188">
        <f>F15*G$38</f>
        <v>0</v>
      </c>
      <c r="H15" s="185">
        <v>0</v>
      </c>
      <c r="I15" s="141">
        <f>H15*I$38</f>
        <v>0</v>
      </c>
      <c r="J15" s="186">
        <v>0</v>
      </c>
      <c r="K15" s="142">
        <f>J15*K$38</f>
        <v>0</v>
      </c>
      <c r="L15" s="187">
        <v>0</v>
      </c>
      <c r="M15" s="141">
        <f>L15*M$38</f>
        <v>0</v>
      </c>
      <c r="N15" s="186">
        <v>0</v>
      </c>
      <c r="O15" s="142">
        <f>N15*O$38</f>
        <v>0</v>
      </c>
      <c r="P15" s="187">
        <v>0</v>
      </c>
      <c r="Q15" s="188">
        <f>P15*Q$38</f>
        <v>0</v>
      </c>
      <c r="R15" s="380">
        <f t="shared" si="11"/>
        <v>0</v>
      </c>
      <c r="S15" s="381" t="str">
        <f t="shared" si="12"/>
        <v>TBD</v>
      </c>
      <c r="T15" s="388">
        <f t="shared" si="13"/>
        <v>0</v>
      </c>
      <c r="U15" s="389" t="str">
        <f t="shared" si="14"/>
        <v>TBD</v>
      </c>
      <c r="V15" s="390">
        <f t="shared" si="15"/>
        <v>0</v>
      </c>
      <c r="W15" s="381" t="str">
        <f t="shared" si="16"/>
        <v>TBD</v>
      </c>
      <c r="X15" s="388">
        <f t="shared" si="17"/>
        <v>0</v>
      </c>
      <c r="Y15" s="391" t="str">
        <f t="shared" si="18"/>
        <v>TBD</v>
      </c>
      <c r="Z15" s="380">
        <f t="shared" si="19"/>
        <v>0</v>
      </c>
      <c r="AA15" s="391" t="str">
        <f t="shared" si="20"/>
        <v>TBD</v>
      </c>
      <c r="AB15" s="380">
        <f t="shared" si="21"/>
        <v>0</v>
      </c>
      <c r="AC15" s="390" t="str">
        <f t="shared" si="22"/>
        <v>TBD</v>
      </c>
      <c r="AD15" s="388">
        <f t="shared" si="23"/>
        <v>0</v>
      </c>
      <c r="AE15" s="389" t="str">
        <f t="shared" si="24"/>
        <v>TBD</v>
      </c>
      <c r="AF15" s="390">
        <f t="shared" si="25"/>
        <v>0</v>
      </c>
      <c r="AG15" s="391" t="str">
        <f t="shared" si="26"/>
        <v>TBD</v>
      </c>
    </row>
    <row r="16" spans="1:33" x14ac:dyDescent="0.25">
      <c r="A16" s="8" t="s">
        <v>287</v>
      </c>
      <c r="B16" s="179" t="str">
        <f>IFERROR(C16/C$38,"TBD ")</f>
        <v xml:space="preserve">TBD </v>
      </c>
      <c r="C16" s="180">
        <v>0</v>
      </c>
      <c r="D16" s="181" t="str">
        <f>IFERROR(E16/E$38,"TBD ")</f>
        <v xml:space="preserve">TBD </v>
      </c>
      <c r="E16" s="182">
        <v>0</v>
      </c>
      <c r="F16" s="183" t="str">
        <f>IFERROR(G16/G$38,"TBD ")</f>
        <v xml:space="preserve">TBD </v>
      </c>
      <c r="G16" s="184">
        <v>0</v>
      </c>
      <c r="H16" s="179" t="str">
        <f t="shared" ref="H16:J17" si="27">IFERROR(I16/I$38,"TBD ")</f>
        <v xml:space="preserve">TBD </v>
      </c>
      <c r="I16" s="180">
        <v>0</v>
      </c>
      <c r="J16" s="181" t="str">
        <f t="shared" si="27"/>
        <v xml:space="preserve">TBD </v>
      </c>
      <c r="K16" s="182">
        <v>0</v>
      </c>
      <c r="L16" s="183" t="str">
        <f t="shared" ref="L16" si="28">IFERROR(M16/M$38,"TBD ")</f>
        <v xml:space="preserve">TBD </v>
      </c>
      <c r="M16" s="180">
        <v>0</v>
      </c>
      <c r="N16" s="181" t="str">
        <f t="shared" ref="N16" si="29">IFERROR(O16/O$38,"TBD ")</f>
        <v xml:space="preserve">TBD </v>
      </c>
      <c r="O16" s="182">
        <v>0</v>
      </c>
      <c r="P16" s="183" t="str">
        <f t="shared" ref="P16" si="30">IFERROR(Q16/Q$38,"TBD ")</f>
        <v xml:space="preserve">TBD </v>
      </c>
      <c r="Q16" s="184">
        <v>0</v>
      </c>
      <c r="R16" s="380" t="str">
        <f t="shared" si="11"/>
        <v>TBD</v>
      </c>
      <c r="S16" s="381" t="str">
        <f t="shared" si="12"/>
        <v>TBD</v>
      </c>
      <c r="T16" s="388" t="str">
        <f t="shared" si="13"/>
        <v>TBD</v>
      </c>
      <c r="U16" s="389" t="str">
        <f t="shared" si="14"/>
        <v>TBD</v>
      </c>
      <c r="V16" s="390" t="str">
        <f t="shared" si="15"/>
        <v>TBD</v>
      </c>
      <c r="W16" s="381" t="str">
        <f t="shared" si="16"/>
        <v>TBD</v>
      </c>
      <c r="X16" s="388" t="str">
        <f t="shared" si="17"/>
        <v>TBD</v>
      </c>
      <c r="Y16" s="391" t="str">
        <f t="shared" si="18"/>
        <v>TBD</v>
      </c>
      <c r="Z16" s="380" t="str">
        <f t="shared" si="19"/>
        <v>TBD</v>
      </c>
      <c r="AA16" s="391" t="str">
        <f t="shared" si="20"/>
        <v>TBD</v>
      </c>
      <c r="AB16" s="380" t="str">
        <f t="shared" si="21"/>
        <v>TBD</v>
      </c>
      <c r="AC16" s="390" t="str">
        <f t="shared" si="22"/>
        <v>TBD</v>
      </c>
      <c r="AD16" s="388" t="str">
        <f t="shared" si="23"/>
        <v>TBD</v>
      </c>
      <c r="AE16" s="389" t="str">
        <f t="shared" si="24"/>
        <v>TBD</v>
      </c>
      <c r="AF16" s="390" t="str">
        <f t="shared" si="25"/>
        <v>TBD</v>
      </c>
      <c r="AG16" s="391" t="str">
        <f t="shared" si="26"/>
        <v>TBD</v>
      </c>
    </row>
    <row r="17" spans="1:33" x14ac:dyDescent="0.25">
      <c r="A17" s="9" t="s">
        <v>288</v>
      </c>
      <c r="B17" s="189" t="str">
        <f>IFERROR(C17/C$38,"TBD ")</f>
        <v xml:space="preserve">TBD </v>
      </c>
      <c r="C17" s="190">
        <v>0</v>
      </c>
      <c r="D17" s="191" t="str">
        <f>IFERROR(E17/E$38,"TBD ")</f>
        <v xml:space="preserve">TBD </v>
      </c>
      <c r="E17" s="192">
        <v>0</v>
      </c>
      <c r="F17" s="193" t="str">
        <f>IFERROR(G17/G$38,"TBD ")</f>
        <v xml:space="preserve">TBD </v>
      </c>
      <c r="G17" s="194">
        <v>0</v>
      </c>
      <c r="H17" s="189" t="str">
        <f t="shared" si="27"/>
        <v xml:space="preserve">TBD </v>
      </c>
      <c r="I17" s="190">
        <v>0</v>
      </c>
      <c r="J17" s="191" t="str">
        <f t="shared" si="27"/>
        <v xml:space="preserve">TBD </v>
      </c>
      <c r="K17" s="192">
        <v>0</v>
      </c>
      <c r="L17" s="193" t="str">
        <f t="shared" ref="L17" si="31">IFERROR(M17/M$38,"TBD ")</f>
        <v xml:space="preserve">TBD </v>
      </c>
      <c r="M17" s="190">
        <v>0</v>
      </c>
      <c r="N17" s="191" t="str">
        <f t="shared" ref="N17" si="32">IFERROR(O17/O$38,"TBD ")</f>
        <v xml:space="preserve">TBD </v>
      </c>
      <c r="O17" s="192">
        <v>0</v>
      </c>
      <c r="P17" s="193" t="str">
        <f t="shared" ref="P17" si="33">IFERROR(Q17/Q$38,"TBD ")</f>
        <v xml:space="preserve">TBD </v>
      </c>
      <c r="Q17" s="194">
        <v>0</v>
      </c>
      <c r="R17" s="382" t="str">
        <f t="shared" si="11"/>
        <v>TBD</v>
      </c>
      <c r="S17" s="383" t="str">
        <f t="shared" si="12"/>
        <v>TBD</v>
      </c>
      <c r="T17" s="392" t="str">
        <f t="shared" si="13"/>
        <v>TBD</v>
      </c>
      <c r="U17" s="393" t="str">
        <f t="shared" si="14"/>
        <v>TBD</v>
      </c>
      <c r="V17" s="383" t="str">
        <f t="shared" si="15"/>
        <v>TBD</v>
      </c>
      <c r="W17" s="383" t="str">
        <f t="shared" si="16"/>
        <v>TBD</v>
      </c>
      <c r="X17" s="392" t="str">
        <f t="shared" si="17"/>
        <v>TBD</v>
      </c>
      <c r="Y17" s="394" t="str">
        <f t="shared" si="18"/>
        <v>TBD</v>
      </c>
      <c r="Z17" s="382" t="str">
        <f t="shared" si="19"/>
        <v>TBD</v>
      </c>
      <c r="AA17" s="394" t="str">
        <f t="shared" si="20"/>
        <v>TBD</v>
      </c>
      <c r="AB17" s="382" t="str">
        <f t="shared" si="21"/>
        <v>TBD</v>
      </c>
      <c r="AC17" s="383" t="str">
        <f t="shared" si="22"/>
        <v>TBD</v>
      </c>
      <c r="AD17" s="392" t="str">
        <f t="shared" si="23"/>
        <v>TBD</v>
      </c>
      <c r="AE17" s="393" t="str">
        <f t="shared" si="24"/>
        <v>TBD</v>
      </c>
      <c r="AF17" s="383" t="str">
        <f t="shared" si="25"/>
        <v>TBD</v>
      </c>
      <c r="AG17" s="394" t="str">
        <f t="shared" si="26"/>
        <v>TBD</v>
      </c>
    </row>
    <row r="18" spans="1:33" x14ac:dyDescent="0.25">
      <c r="A18" s="39" t="s">
        <v>289</v>
      </c>
      <c r="B18" s="195">
        <f t="shared" ref="B18:Q18" si="34">SUM(B13:B17)</f>
        <v>0</v>
      </c>
      <c r="C18" s="196">
        <f t="shared" si="34"/>
        <v>0</v>
      </c>
      <c r="D18" s="197">
        <f t="shared" si="34"/>
        <v>0</v>
      </c>
      <c r="E18" s="198">
        <f t="shared" si="34"/>
        <v>0</v>
      </c>
      <c r="F18" s="199">
        <f t="shared" si="34"/>
        <v>0</v>
      </c>
      <c r="G18" s="200">
        <f t="shared" si="34"/>
        <v>0</v>
      </c>
      <c r="H18" s="195">
        <f t="shared" si="34"/>
        <v>0</v>
      </c>
      <c r="I18" s="196">
        <f t="shared" si="34"/>
        <v>0</v>
      </c>
      <c r="J18" s="197">
        <f t="shared" si="34"/>
        <v>0</v>
      </c>
      <c r="K18" s="198">
        <f t="shared" si="34"/>
        <v>0</v>
      </c>
      <c r="L18" s="199">
        <f t="shared" si="34"/>
        <v>0</v>
      </c>
      <c r="M18" s="196">
        <f t="shared" si="34"/>
        <v>0</v>
      </c>
      <c r="N18" s="197">
        <f t="shared" si="34"/>
        <v>0</v>
      </c>
      <c r="O18" s="198">
        <f t="shared" si="34"/>
        <v>0</v>
      </c>
      <c r="P18" s="199">
        <f t="shared" si="34"/>
        <v>0</v>
      </c>
      <c r="Q18" s="200">
        <f t="shared" si="34"/>
        <v>0</v>
      </c>
      <c r="R18" s="384">
        <f t="shared" si="11"/>
        <v>0</v>
      </c>
      <c r="S18" s="385" t="str">
        <f t="shared" si="12"/>
        <v>TBD</v>
      </c>
      <c r="T18" s="386">
        <f t="shared" si="13"/>
        <v>0</v>
      </c>
      <c r="U18" s="395" t="str">
        <f t="shared" si="14"/>
        <v>TBD</v>
      </c>
      <c r="V18" s="387">
        <f t="shared" si="15"/>
        <v>0</v>
      </c>
      <c r="W18" s="385" t="str">
        <f t="shared" si="16"/>
        <v>TBD</v>
      </c>
      <c r="X18" s="386">
        <f t="shared" si="17"/>
        <v>0</v>
      </c>
      <c r="Y18" s="396" t="str">
        <f t="shared" si="18"/>
        <v>TBD</v>
      </c>
      <c r="Z18" s="384">
        <f t="shared" si="19"/>
        <v>0</v>
      </c>
      <c r="AA18" s="396" t="str">
        <f t="shared" si="20"/>
        <v>TBD</v>
      </c>
      <c r="AB18" s="384">
        <f t="shared" si="21"/>
        <v>0</v>
      </c>
      <c r="AC18" s="387" t="str">
        <f t="shared" si="22"/>
        <v>TBD</v>
      </c>
      <c r="AD18" s="386">
        <f t="shared" si="23"/>
        <v>0</v>
      </c>
      <c r="AE18" s="395" t="str">
        <f t="shared" si="24"/>
        <v>TBD</v>
      </c>
      <c r="AF18" s="387">
        <f t="shared" si="25"/>
        <v>0</v>
      </c>
      <c r="AG18" s="396" t="str">
        <f t="shared" si="26"/>
        <v>TBD</v>
      </c>
    </row>
    <row r="19" spans="1:33" x14ac:dyDescent="0.25">
      <c r="A19" s="7"/>
      <c r="B19" s="179"/>
      <c r="C19" s="141"/>
      <c r="D19" s="181"/>
      <c r="E19" s="142"/>
      <c r="F19" s="183"/>
      <c r="G19" s="188"/>
      <c r="H19" s="179"/>
      <c r="I19" s="141"/>
      <c r="J19" s="181"/>
      <c r="K19" s="142"/>
      <c r="L19" s="183"/>
      <c r="M19" s="141"/>
      <c r="N19" s="181"/>
      <c r="O19" s="142"/>
      <c r="P19" s="183"/>
      <c r="Q19" s="188"/>
      <c r="R19" s="179"/>
      <c r="S19" s="377"/>
      <c r="T19" s="181"/>
      <c r="U19" s="378"/>
      <c r="V19" s="183"/>
      <c r="W19" s="377"/>
      <c r="X19" s="181"/>
      <c r="Y19" s="379"/>
      <c r="Z19" s="179"/>
      <c r="AA19" s="379"/>
      <c r="AB19" s="179"/>
      <c r="AC19" s="183"/>
      <c r="AD19" s="181"/>
      <c r="AE19" s="378"/>
      <c r="AF19" s="183"/>
      <c r="AG19" s="379"/>
    </row>
    <row r="20" spans="1:33" x14ac:dyDescent="0.25">
      <c r="A20" t="s">
        <v>85</v>
      </c>
      <c r="B20" s="179"/>
      <c r="C20" s="141"/>
      <c r="D20" s="181"/>
      <c r="E20" s="142"/>
      <c r="F20" s="183"/>
      <c r="G20" s="188"/>
      <c r="H20" s="179"/>
      <c r="I20" s="141"/>
      <c r="J20" s="181"/>
      <c r="K20" s="142"/>
      <c r="L20" s="183"/>
      <c r="M20" s="141"/>
      <c r="N20" s="181"/>
      <c r="O20" s="142"/>
      <c r="P20" s="183"/>
      <c r="Q20" s="188"/>
      <c r="R20" s="179"/>
      <c r="S20" s="377"/>
      <c r="T20" s="181"/>
      <c r="U20" s="378"/>
      <c r="V20" s="183"/>
      <c r="W20" s="377"/>
      <c r="X20" s="181"/>
      <c r="Y20" s="379"/>
      <c r="Z20" s="179"/>
      <c r="AA20" s="379"/>
      <c r="AB20" s="179"/>
      <c r="AC20" s="183"/>
      <c r="AD20" s="181"/>
      <c r="AE20" s="378"/>
      <c r="AF20" s="183"/>
      <c r="AG20" s="379"/>
    </row>
    <row r="21" spans="1:33" x14ac:dyDescent="0.25">
      <c r="A21" s="8" t="s">
        <v>290</v>
      </c>
      <c r="B21" s="185">
        <v>0.02</v>
      </c>
      <c r="C21" s="141">
        <f>B21*C$38</f>
        <v>0</v>
      </c>
      <c r="D21" s="186">
        <v>0.02</v>
      </c>
      <c r="E21" s="142">
        <f>D21*E$38</f>
        <v>0</v>
      </c>
      <c r="F21" s="187">
        <v>0.02</v>
      </c>
      <c r="G21" s="188">
        <f>F21*G$38</f>
        <v>0</v>
      </c>
      <c r="H21" s="185">
        <v>0.02</v>
      </c>
      <c r="I21" s="141">
        <f>H21*I$38</f>
        <v>0</v>
      </c>
      <c r="J21" s="186">
        <v>0.02</v>
      </c>
      <c r="K21" s="142">
        <f>J21*K$38</f>
        <v>0</v>
      </c>
      <c r="L21" s="187">
        <v>0.02</v>
      </c>
      <c r="M21" s="141">
        <f>L21*M$38</f>
        <v>0</v>
      </c>
      <c r="N21" s="186">
        <v>0.02</v>
      </c>
      <c r="O21" s="142">
        <f>N21*O$38</f>
        <v>0</v>
      </c>
      <c r="P21" s="187">
        <v>0.02</v>
      </c>
      <c r="Q21" s="188">
        <f>P21*Q$38</f>
        <v>0</v>
      </c>
      <c r="R21" s="380">
        <f t="shared" ref="R21:R30" si="35">IFERROR(J21-H21,"TBD")</f>
        <v>0</v>
      </c>
      <c r="S21" s="381" t="str">
        <f t="shared" ref="S21:S30" si="36">IFERROR(K21/I21-1,"TBD")</f>
        <v>TBD</v>
      </c>
      <c r="T21" s="388">
        <f t="shared" ref="T21:T30" si="37">IFERROR(L21-J21,"TBD")</f>
        <v>0</v>
      </c>
      <c r="U21" s="389" t="str">
        <f t="shared" ref="U21:U30" si="38">IFERROR(M21/K21-1,"TBD")</f>
        <v>TBD</v>
      </c>
      <c r="V21" s="390">
        <f t="shared" ref="V21:V30" si="39">IFERROR(N21-L21,"TBD")</f>
        <v>0</v>
      </c>
      <c r="W21" s="381" t="str">
        <f t="shared" ref="W21:W30" si="40">IFERROR(O21/M21-1,"TBD")</f>
        <v>TBD</v>
      </c>
      <c r="X21" s="388">
        <f t="shared" ref="X21:X30" si="41">IFERROR(P21-N21,"TBD")</f>
        <v>0</v>
      </c>
      <c r="Y21" s="391" t="str">
        <f t="shared" ref="Y21:Y30" si="42">IFERROR(Q21/O21-1,"TBD")</f>
        <v>TBD</v>
      </c>
      <c r="Z21" s="380">
        <f t="shared" ref="Z21:Z36" si="43">IFERROR(P21-F21,"TBD")</f>
        <v>0</v>
      </c>
      <c r="AA21" s="391" t="str">
        <f t="shared" ref="AA21:AA38" si="44">IFERROR(Q21/G21-1,"TBD")</f>
        <v>TBD</v>
      </c>
      <c r="AB21" s="380">
        <f t="shared" ref="AB21:AB30" si="45">IFERROR(H21-B21,"TBD")</f>
        <v>0</v>
      </c>
      <c r="AC21" s="390" t="str">
        <f t="shared" ref="AC21:AC30" si="46">IFERROR(I21/C21-1,"TBD")</f>
        <v>TBD</v>
      </c>
      <c r="AD21" s="388">
        <f t="shared" ref="AD21:AD30" si="47">IFERROR(J21-D21,"TBD")</f>
        <v>0</v>
      </c>
      <c r="AE21" s="389" t="str">
        <f t="shared" ref="AE21:AE30" si="48">IFERROR(K21/E21-1,"TBD")</f>
        <v>TBD</v>
      </c>
      <c r="AF21" s="390">
        <f t="shared" ref="AF21:AF30" si="49">IFERROR(L21-F21,"TBD")</f>
        <v>0</v>
      </c>
      <c r="AG21" s="391" t="str">
        <f t="shared" ref="AG21:AG30" si="50">IFERROR(M21/G21-1,"TBD")</f>
        <v>TBD</v>
      </c>
    </row>
    <row r="22" spans="1:33" x14ac:dyDescent="0.25">
      <c r="A22" s="8" t="s">
        <v>291</v>
      </c>
      <c r="B22" s="185">
        <v>0</v>
      </c>
      <c r="C22" s="141">
        <f>B22*C$38</f>
        <v>0</v>
      </c>
      <c r="D22" s="186">
        <v>0</v>
      </c>
      <c r="E22" s="142">
        <f>D22*E$38</f>
        <v>0</v>
      </c>
      <c r="F22" s="187">
        <v>0</v>
      </c>
      <c r="G22" s="188">
        <f>F22*G$38</f>
        <v>0</v>
      </c>
      <c r="H22" s="185">
        <v>0</v>
      </c>
      <c r="I22" s="141">
        <f>H22*I$38</f>
        <v>0</v>
      </c>
      <c r="J22" s="186">
        <v>0</v>
      </c>
      <c r="K22" s="142">
        <f>J22*K$38</f>
        <v>0</v>
      </c>
      <c r="L22" s="187">
        <v>0</v>
      </c>
      <c r="M22" s="141">
        <f>L22*M$38</f>
        <v>0</v>
      </c>
      <c r="N22" s="186">
        <v>0</v>
      </c>
      <c r="O22" s="142">
        <f>N22*O$38</f>
        <v>0</v>
      </c>
      <c r="P22" s="187">
        <v>0</v>
      </c>
      <c r="Q22" s="188">
        <f>P22*Q$38</f>
        <v>0</v>
      </c>
      <c r="R22" s="380">
        <f t="shared" si="35"/>
        <v>0</v>
      </c>
      <c r="S22" s="381" t="str">
        <f t="shared" si="36"/>
        <v>TBD</v>
      </c>
      <c r="T22" s="388">
        <f t="shared" si="37"/>
        <v>0</v>
      </c>
      <c r="U22" s="389" t="str">
        <f t="shared" si="38"/>
        <v>TBD</v>
      </c>
      <c r="V22" s="390">
        <f t="shared" si="39"/>
        <v>0</v>
      </c>
      <c r="W22" s="381" t="str">
        <f t="shared" si="40"/>
        <v>TBD</v>
      </c>
      <c r="X22" s="388">
        <f t="shared" si="41"/>
        <v>0</v>
      </c>
      <c r="Y22" s="391" t="str">
        <f t="shared" si="42"/>
        <v>TBD</v>
      </c>
      <c r="Z22" s="380">
        <f t="shared" si="43"/>
        <v>0</v>
      </c>
      <c r="AA22" s="391" t="str">
        <f t="shared" si="44"/>
        <v>TBD</v>
      </c>
      <c r="AB22" s="380">
        <f t="shared" si="45"/>
        <v>0</v>
      </c>
      <c r="AC22" s="390" t="str">
        <f t="shared" si="46"/>
        <v>TBD</v>
      </c>
      <c r="AD22" s="388">
        <f t="shared" si="47"/>
        <v>0</v>
      </c>
      <c r="AE22" s="389" t="str">
        <f t="shared" si="48"/>
        <v>TBD</v>
      </c>
      <c r="AF22" s="390">
        <f t="shared" si="49"/>
        <v>0</v>
      </c>
      <c r="AG22" s="391" t="str">
        <f t="shared" si="50"/>
        <v>TBD</v>
      </c>
    </row>
    <row r="23" spans="1:33" x14ac:dyDescent="0.25">
      <c r="A23" s="8" t="s">
        <v>292</v>
      </c>
      <c r="B23" s="201">
        <v>0</v>
      </c>
      <c r="C23" s="141">
        <f>B23*C$38</f>
        <v>0</v>
      </c>
      <c r="D23" s="202">
        <v>0</v>
      </c>
      <c r="E23" s="142">
        <f>D23*E$38</f>
        <v>0</v>
      </c>
      <c r="F23" s="203">
        <v>0</v>
      </c>
      <c r="G23" s="188">
        <f>F23*G$38</f>
        <v>0</v>
      </c>
      <c r="H23" s="201">
        <v>0</v>
      </c>
      <c r="I23" s="141">
        <f>H23*I$38</f>
        <v>0</v>
      </c>
      <c r="J23" s="202">
        <v>0</v>
      </c>
      <c r="K23" s="142">
        <f>J23*K$38</f>
        <v>0</v>
      </c>
      <c r="L23" s="203">
        <v>0</v>
      </c>
      <c r="M23" s="141">
        <f>L23*M$38</f>
        <v>0</v>
      </c>
      <c r="N23" s="202">
        <v>0</v>
      </c>
      <c r="O23" s="142">
        <f>N23*O$38</f>
        <v>0</v>
      </c>
      <c r="P23" s="203">
        <v>0</v>
      </c>
      <c r="Q23" s="188">
        <f>P23*Q$38</f>
        <v>0</v>
      </c>
      <c r="R23" s="380">
        <f t="shared" si="35"/>
        <v>0</v>
      </c>
      <c r="S23" s="381" t="str">
        <f t="shared" si="36"/>
        <v>TBD</v>
      </c>
      <c r="T23" s="388">
        <f t="shared" si="37"/>
        <v>0</v>
      </c>
      <c r="U23" s="389" t="str">
        <f t="shared" si="38"/>
        <v>TBD</v>
      </c>
      <c r="V23" s="390">
        <f t="shared" si="39"/>
        <v>0</v>
      </c>
      <c r="W23" s="381" t="str">
        <f t="shared" si="40"/>
        <v>TBD</v>
      </c>
      <c r="X23" s="388">
        <f t="shared" si="41"/>
        <v>0</v>
      </c>
      <c r="Y23" s="391" t="str">
        <f t="shared" si="42"/>
        <v>TBD</v>
      </c>
      <c r="Z23" s="380">
        <f t="shared" si="43"/>
        <v>0</v>
      </c>
      <c r="AA23" s="391" t="str">
        <f t="shared" si="44"/>
        <v>TBD</v>
      </c>
      <c r="AB23" s="380">
        <f t="shared" si="45"/>
        <v>0</v>
      </c>
      <c r="AC23" s="390" t="str">
        <f t="shared" si="46"/>
        <v>TBD</v>
      </c>
      <c r="AD23" s="388">
        <f t="shared" si="47"/>
        <v>0</v>
      </c>
      <c r="AE23" s="389" t="str">
        <f t="shared" si="48"/>
        <v>TBD</v>
      </c>
      <c r="AF23" s="390">
        <f t="shared" si="49"/>
        <v>0</v>
      </c>
      <c r="AG23" s="391" t="str">
        <f t="shared" si="50"/>
        <v>TBD</v>
      </c>
    </row>
    <row r="24" spans="1:33" x14ac:dyDescent="0.25">
      <c r="A24" s="8" t="s">
        <v>293</v>
      </c>
      <c r="B24" s="201">
        <v>0</v>
      </c>
      <c r="C24" s="141">
        <f>B24*C$38</f>
        <v>0</v>
      </c>
      <c r="D24" s="202">
        <v>0</v>
      </c>
      <c r="E24" s="142">
        <f>D24*E$38</f>
        <v>0</v>
      </c>
      <c r="F24" s="203">
        <v>0</v>
      </c>
      <c r="G24" s="188">
        <f>F24*G$38</f>
        <v>0</v>
      </c>
      <c r="H24" s="201">
        <v>0</v>
      </c>
      <c r="I24" s="141">
        <f>H24*I$38</f>
        <v>0</v>
      </c>
      <c r="J24" s="202">
        <v>0</v>
      </c>
      <c r="K24" s="142">
        <f>J24*K$38</f>
        <v>0</v>
      </c>
      <c r="L24" s="203">
        <v>0</v>
      </c>
      <c r="M24" s="141">
        <f>L24*M$38</f>
        <v>0</v>
      </c>
      <c r="N24" s="202">
        <v>0</v>
      </c>
      <c r="O24" s="142">
        <f>N24*O$38</f>
        <v>0</v>
      </c>
      <c r="P24" s="203">
        <v>0</v>
      </c>
      <c r="Q24" s="188">
        <f>P24*Q$38</f>
        <v>0</v>
      </c>
      <c r="R24" s="380">
        <f t="shared" si="35"/>
        <v>0</v>
      </c>
      <c r="S24" s="381" t="str">
        <f t="shared" si="36"/>
        <v>TBD</v>
      </c>
      <c r="T24" s="388">
        <f t="shared" si="37"/>
        <v>0</v>
      </c>
      <c r="U24" s="389" t="str">
        <f t="shared" si="38"/>
        <v>TBD</v>
      </c>
      <c r="V24" s="390">
        <f t="shared" si="39"/>
        <v>0</v>
      </c>
      <c r="W24" s="381" t="str">
        <f t="shared" si="40"/>
        <v>TBD</v>
      </c>
      <c r="X24" s="388">
        <f t="shared" si="41"/>
        <v>0</v>
      </c>
      <c r="Y24" s="391" t="str">
        <f t="shared" si="42"/>
        <v>TBD</v>
      </c>
      <c r="Z24" s="380">
        <f t="shared" si="43"/>
        <v>0</v>
      </c>
      <c r="AA24" s="391" t="str">
        <f t="shared" si="44"/>
        <v>TBD</v>
      </c>
      <c r="AB24" s="380">
        <f t="shared" si="45"/>
        <v>0</v>
      </c>
      <c r="AC24" s="390" t="str">
        <f t="shared" si="46"/>
        <v>TBD</v>
      </c>
      <c r="AD24" s="388">
        <f t="shared" si="47"/>
        <v>0</v>
      </c>
      <c r="AE24" s="389" t="str">
        <f t="shared" si="48"/>
        <v>TBD</v>
      </c>
      <c r="AF24" s="390">
        <f t="shared" si="49"/>
        <v>0</v>
      </c>
      <c r="AG24" s="391" t="str">
        <f t="shared" si="50"/>
        <v>TBD</v>
      </c>
    </row>
    <row r="25" spans="1:33" x14ac:dyDescent="0.25">
      <c r="A25" s="8" t="s">
        <v>294</v>
      </c>
      <c r="B25" s="179" t="str">
        <f t="shared" ref="B25:B29" si="51">IFERROR(C25/C$38,"TBD ")</f>
        <v xml:space="preserve">TBD </v>
      </c>
      <c r="C25" s="180">
        <v>0</v>
      </c>
      <c r="D25" s="181" t="str">
        <f t="shared" ref="D25:D29" si="52">IFERROR(E25/E$38,"TBD ")</f>
        <v xml:space="preserve">TBD </v>
      </c>
      <c r="E25" s="182">
        <v>0</v>
      </c>
      <c r="F25" s="183" t="str">
        <f t="shared" ref="F25:F29" si="53">IFERROR(G25/G$38,"TBD ")</f>
        <v xml:space="preserve">TBD </v>
      </c>
      <c r="G25" s="184">
        <v>0</v>
      </c>
      <c r="H25" s="179" t="str">
        <f t="shared" ref="H25:H29" si="54">IFERROR(I25/I$38,"TBD ")</f>
        <v xml:space="preserve">TBD </v>
      </c>
      <c r="I25" s="180">
        <v>0</v>
      </c>
      <c r="J25" s="181" t="str">
        <f t="shared" ref="J25:J29" si="55">IFERROR(K25/K$38,"TBD ")</f>
        <v xml:space="preserve">TBD </v>
      </c>
      <c r="K25" s="182">
        <v>0</v>
      </c>
      <c r="L25" s="183" t="str">
        <f t="shared" ref="L25" si="56">IFERROR(M25/M$38,"TBD ")</f>
        <v xml:space="preserve">TBD </v>
      </c>
      <c r="M25" s="180">
        <v>0</v>
      </c>
      <c r="N25" s="181" t="str">
        <f t="shared" ref="N25" si="57">IFERROR(O25/O$38,"TBD ")</f>
        <v xml:space="preserve">TBD </v>
      </c>
      <c r="O25" s="182">
        <v>0</v>
      </c>
      <c r="P25" s="183" t="str">
        <f t="shared" ref="P25" si="58">IFERROR(Q25/Q$38,"TBD ")</f>
        <v xml:space="preserve">TBD </v>
      </c>
      <c r="Q25" s="184">
        <v>0</v>
      </c>
      <c r="R25" s="380" t="str">
        <f t="shared" si="35"/>
        <v>TBD</v>
      </c>
      <c r="S25" s="381" t="str">
        <f t="shared" si="36"/>
        <v>TBD</v>
      </c>
      <c r="T25" s="388" t="str">
        <f t="shared" si="37"/>
        <v>TBD</v>
      </c>
      <c r="U25" s="389" t="str">
        <f t="shared" si="38"/>
        <v>TBD</v>
      </c>
      <c r="V25" s="390" t="str">
        <f t="shared" si="39"/>
        <v>TBD</v>
      </c>
      <c r="W25" s="381" t="str">
        <f t="shared" si="40"/>
        <v>TBD</v>
      </c>
      <c r="X25" s="388" t="str">
        <f t="shared" si="41"/>
        <v>TBD</v>
      </c>
      <c r="Y25" s="391" t="str">
        <f t="shared" si="42"/>
        <v>TBD</v>
      </c>
      <c r="Z25" s="380" t="str">
        <f t="shared" si="43"/>
        <v>TBD</v>
      </c>
      <c r="AA25" s="391" t="str">
        <f t="shared" si="44"/>
        <v>TBD</v>
      </c>
      <c r="AB25" s="380" t="str">
        <f t="shared" si="45"/>
        <v>TBD</v>
      </c>
      <c r="AC25" s="390" t="str">
        <f t="shared" si="46"/>
        <v>TBD</v>
      </c>
      <c r="AD25" s="388" t="str">
        <f t="shared" si="47"/>
        <v>TBD</v>
      </c>
      <c r="AE25" s="389" t="str">
        <f t="shared" si="48"/>
        <v>TBD</v>
      </c>
      <c r="AF25" s="390" t="str">
        <f t="shared" si="49"/>
        <v>TBD</v>
      </c>
      <c r="AG25" s="391" t="str">
        <f t="shared" si="50"/>
        <v>TBD</v>
      </c>
    </row>
    <row r="26" spans="1:33" x14ac:dyDescent="0.25">
      <c r="A26" s="8" t="s">
        <v>295</v>
      </c>
      <c r="B26" s="179" t="str">
        <f t="shared" si="51"/>
        <v xml:space="preserve">TBD </v>
      </c>
      <c r="C26" s="180">
        <v>0</v>
      </c>
      <c r="D26" s="181" t="str">
        <f t="shared" si="52"/>
        <v xml:space="preserve">TBD </v>
      </c>
      <c r="E26" s="182">
        <v>0</v>
      </c>
      <c r="F26" s="183" t="str">
        <f t="shared" si="53"/>
        <v xml:space="preserve">TBD </v>
      </c>
      <c r="G26" s="184">
        <v>0</v>
      </c>
      <c r="H26" s="179" t="str">
        <f t="shared" si="54"/>
        <v xml:space="preserve">TBD </v>
      </c>
      <c r="I26" s="180">
        <v>0</v>
      </c>
      <c r="J26" s="181" t="str">
        <f t="shared" si="55"/>
        <v xml:space="preserve">TBD </v>
      </c>
      <c r="K26" s="182">
        <v>0</v>
      </c>
      <c r="L26" s="183" t="str">
        <f t="shared" ref="L26" si="59">IFERROR(M26/M$38,"TBD ")</f>
        <v xml:space="preserve">TBD </v>
      </c>
      <c r="M26" s="180">
        <v>0</v>
      </c>
      <c r="N26" s="181" t="str">
        <f t="shared" ref="N26" si="60">IFERROR(O26/O$38,"TBD ")</f>
        <v xml:space="preserve">TBD </v>
      </c>
      <c r="O26" s="182">
        <v>0</v>
      </c>
      <c r="P26" s="183" t="str">
        <f t="shared" ref="P26" si="61">IFERROR(Q26/Q$38,"TBD ")</f>
        <v xml:space="preserve">TBD </v>
      </c>
      <c r="Q26" s="184">
        <v>0</v>
      </c>
      <c r="R26" s="380" t="str">
        <f t="shared" si="35"/>
        <v>TBD</v>
      </c>
      <c r="S26" s="381" t="str">
        <f t="shared" si="36"/>
        <v>TBD</v>
      </c>
      <c r="T26" s="388" t="str">
        <f t="shared" si="37"/>
        <v>TBD</v>
      </c>
      <c r="U26" s="389" t="str">
        <f t="shared" si="38"/>
        <v>TBD</v>
      </c>
      <c r="V26" s="390" t="str">
        <f t="shared" si="39"/>
        <v>TBD</v>
      </c>
      <c r="W26" s="381" t="str">
        <f t="shared" si="40"/>
        <v>TBD</v>
      </c>
      <c r="X26" s="388" t="str">
        <f t="shared" si="41"/>
        <v>TBD</v>
      </c>
      <c r="Y26" s="391" t="str">
        <f t="shared" si="42"/>
        <v>TBD</v>
      </c>
      <c r="Z26" s="380" t="str">
        <f t="shared" si="43"/>
        <v>TBD</v>
      </c>
      <c r="AA26" s="391" t="str">
        <f t="shared" si="44"/>
        <v>TBD</v>
      </c>
      <c r="AB26" s="380" t="str">
        <f t="shared" si="45"/>
        <v>TBD</v>
      </c>
      <c r="AC26" s="390" t="str">
        <f t="shared" si="46"/>
        <v>TBD</v>
      </c>
      <c r="AD26" s="388" t="str">
        <f t="shared" si="47"/>
        <v>TBD</v>
      </c>
      <c r="AE26" s="389" t="str">
        <f t="shared" si="48"/>
        <v>TBD</v>
      </c>
      <c r="AF26" s="390" t="str">
        <f t="shared" si="49"/>
        <v>TBD</v>
      </c>
      <c r="AG26" s="391" t="str">
        <f t="shared" si="50"/>
        <v>TBD</v>
      </c>
    </row>
    <row r="27" spans="1:33" x14ac:dyDescent="0.25">
      <c r="A27" s="8" t="s">
        <v>296</v>
      </c>
      <c r="B27" s="179" t="str">
        <f t="shared" si="51"/>
        <v xml:space="preserve">TBD </v>
      </c>
      <c r="C27" s="180">
        <v>0</v>
      </c>
      <c r="D27" s="181" t="str">
        <f t="shared" si="52"/>
        <v xml:space="preserve">TBD </v>
      </c>
      <c r="E27" s="182">
        <v>0</v>
      </c>
      <c r="F27" s="183" t="str">
        <f t="shared" si="53"/>
        <v xml:space="preserve">TBD </v>
      </c>
      <c r="G27" s="184">
        <v>0</v>
      </c>
      <c r="H27" s="179" t="str">
        <f t="shared" si="54"/>
        <v xml:space="preserve">TBD </v>
      </c>
      <c r="I27" s="180">
        <v>0</v>
      </c>
      <c r="J27" s="181" t="str">
        <f t="shared" si="55"/>
        <v xml:space="preserve">TBD </v>
      </c>
      <c r="K27" s="182">
        <v>0</v>
      </c>
      <c r="L27" s="183" t="str">
        <f t="shared" ref="L27" si="62">IFERROR(M27/M$38,"TBD ")</f>
        <v xml:space="preserve">TBD </v>
      </c>
      <c r="M27" s="180">
        <v>0</v>
      </c>
      <c r="N27" s="181" t="str">
        <f t="shared" ref="N27" si="63">IFERROR(O27/O$38,"TBD ")</f>
        <v xml:space="preserve">TBD </v>
      </c>
      <c r="O27" s="182">
        <v>0</v>
      </c>
      <c r="P27" s="183" t="str">
        <f t="shared" ref="P27" si="64">IFERROR(Q27/Q$38,"TBD ")</f>
        <v xml:space="preserve">TBD </v>
      </c>
      <c r="Q27" s="184">
        <v>0</v>
      </c>
      <c r="R27" s="380" t="str">
        <f t="shared" si="35"/>
        <v>TBD</v>
      </c>
      <c r="S27" s="381" t="str">
        <f t="shared" si="36"/>
        <v>TBD</v>
      </c>
      <c r="T27" s="388" t="str">
        <f t="shared" si="37"/>
        <v>TBD</v>
      </c>
      <c r="U27" s="389" t="str">
        <f t="shared" si="38"/>
        <v>TBD</v>
      </c>
      <c r="V27" s="390" t="str">
        <f t="shared" si="39"/>
        <v>TBD</v>
      </c>
      <c r="W27" s="381" t="str">
        <f t="shared" si="40"/>
        <v>TBD</v>
      </c>
      <c r="X27" s="388" t="str">
        <f t="shared" si="41"/>
        <v>TBD</v>
      </c>
      <c r="Y27" s="391" t="str">
        <f t="shared" si="42"/>
        <v>TBD</v>
      </c>
      <c r="Z27" s="380" t="str">
        <f t="shared" si="43"/>
        <v>TBD</v>
      </c>
      <c r="AA27" s="391" t="str">
        <f t="shared" si="44"/>
        <v>TBD</v>
      </c>
      <c r="AB27" s="380" t="str">
        <f t="shared" si="45"/>
        <v>TBD</v>
      </c>
      <c r="AC27" s="390" t="str">
        <f t="shared" si="46"/>
        <v>TBD</v>
      </c>
      <c r="AD27" s="388" t="str">
        <f t="shared" si="47"/>
        <v>TBD</v>
      </c>
      <c r="AE27" s="389" t="str">
        <f t="shared" si="48"/>
        <v>TBD</v>
      </c>
      <c r="AF27" s="390" t="str">
        <f t="shared" si="49"/>
        <v>TBD</v>
      </c>
      <c r="AG27" s="391" t="str">
        <f t="shared" si="50"/>
        <v>TBD</v>
      </c>
    </row>
    <row r="28" spans="1:33" x14ac:dyDescent="0.25">
      <c r="A28" s="8" t="s">
        <v>297</v>
      </c>
      <c r="B28" s="179" t="str">
        <f t="shared" si="51"/>
        <v xml:space="preserve">TBD </v>
      </c>
      <c r="C28" s="180">
        <v>0</v>
      </c>
      <c r="D28" s="181" t="str">
        <f t="shared" si="52"/>
        <v xml:space="preserve">TBD </v>
      </c>
      <c r="E28" s="182">
        <v>0</v>
      </c>
      <c r="F28" s="183" t="str">
        <f t="shared" si="53"/>
        <v xml:space="preserve">TBD </v>
      </c>
      <c r="G28" s="184">
        <v>0</v>
      </c>
      <c r="H28" s="179" t="str">
        <f t="shared" si="54"/>
        <v xml:space="preserve">TBD </v>
      </c>
      <c r="I28" s="180">
        <v>0</v>
      </c>
      <c r="J28" s="181" t="str">
        <f t="shared" si="55"/>
        <v xml:space="preserve">TBD </v>
      </c>
      <c r="K28" s="182">
        <v>0</v>
      </c>
      <c r="L28" s="183" t="str">
        <f t="shared" ref="L28" si="65">IFERROR(M28/M$38,"TBD ")</f>
        <v xml:space="preserve">TBD </v>
      </c>
      <c r="M28" s="180">
        <v>0</v>
      </c>
      <c r="N28" s="181" t="str">
        <f t="shared" ref="N28" si="66">IFERROR(O28/O$38,"TBD ")</f>
        <v xml:space="preserve">TBD </v>
      </c>
      <c r="O28" s="182">
        <v>0</v>
      </c>
      <c r="P28" s="183" t="str">
        <f t="shared" ref="P28" si="67">IFERROR(Q28/Q$38,"TBD ")</f>
        <v xml:space="preserve">TBD </v>
      </c>
      <c r="Q28" s="184">
        <v>0</v>
      </c>
      <c r="R28" s="380" t="str">
        <f t="shared" si="35"/>
        <v>TBD</v>
      </c>
      <c r="S28" s="381" t="str">
        <f t="shared" si="36"/>
        <v>TBD</v>
      </c>
      <c r="T28" s="388" t="str">
        <f t="shared" si="37"/>
        <v>TBD</v>
      </c>
      <c r="U28" s="389" t="str">
        <f t="shared" si="38"/>
        <v>TBD</v>
      </c>
      <c r="V28" s="390" t="str">
        <f t="shared" si="39"/>
        <v>TBD</v>
      </c>
      <c r="W28" s="381" t="str">
        <f t="shared" si="40"/>
        <v>TBD</v>
      </c>
      <c r="X28" s="388" t="str">
        <f t="shared" si="41"/>
        <v>TBD</v>
      </c>
      <c r="Y28" s="391" t="str">
        <f t="shared" si="42"/>
        <v>TBD</v>
      </c>
      <c r="Z28" s="380" t="str">
        <f t="shared" si="43"/>
        <v>TBD</v>
      </c>
      <c r="AA28" s="391" t="str">
        <f t="shared" si="44"/>
        <v>TBD</v>
      </c>
      <c r="AB28" s="380" t="str">
        <f t="shared" si="45"/>
        <v>TBD</v>
      </c>
      <c r="AC28" s="390" t="str">
        <f t="shared" si="46"/>
        <v>TBD</v>
      </c>
      <c r="AD28" s="388" t="str">
        <f t="shared" si="47"/>
        <v>TBD</v>
      </c>
      <c r="AE28" s="389" t="str">
        <f t="shared" si="48"/>
        <v>TBD</v>
      </c>
      <c r="AF28" s="390" t="str">
        <f t="shared" si="49"/>
        <v>TBD</v>
      </c>
      <c r="AG28" s="391" t="str">
        <f t="shared" si="50"/>
        <v>TBD</v>
      </c>
    </row>
    <row r="29" spans="1:33" x14ac:dyDescent="0.25">
      <c r="A29" s="9" t="s">
        <v>298</v>
      </c>
      <c r="B29" s="189" t="str">
        <f t="shared" si="51"/>
        <v xml:space="preserve">TBD </v>
      </c>
      <c r="C29" s="190">
        <v>0</v>
      </c>
      <c r="D29" s="191" t="str">
        <f t="shared" si="52"/>
        <v xml:space="preserve">TBD </v>
      </c>
      <c r="E29" s="192">
        <v>0</v>
      </c>
      <c r="F29" s="193" t="str">
        <f t="shared" si="53"/>
        <v xml:space="preserve">TBD </v>
      </c>
      <c r="G29" s="194">
        <v>0</v>
      </c>
      <c r="H29" s="189" t="str">
        <f t="shared" si="54"/>
        <v xml:space="preserve">TBD </v>
      </c>
      <c r="I29" s="190">
        <v>0</v>
      </c>
      <c r="J29" s="191" t="str">
        <f t="shared" si="55"/>
        <v xml:space="preserve">TBD </v>
      </c>
      <c r="K29" s="192">
        <v>0</v>
      </c>
      <c r="L29" s="193" t="str">
        <f t="shared" ref="L29" si="68">IFERROR(M29/M$38,"TBD ")</f>
        <v xml:space="preserve">TBD </v>
      </c>
      <c r="M29" s="190">
        <v>0</v>
      </c>
      <c r="N29" s="191" t="str">
        <f t="shared" ref="N29" si="69">IFERROR(O29/O$38,"TBD ")</f>
        <v xml:space="preserve">TBD </v>
      </c>
      <c r="O29" s="192">
        <v>0</v>
      </c>
      <c r="P29" s="193" t="str">
        <f t="shared" ref="P29" si="70">IFERROR(Q29/Q$38,"TBD ")</f>
        <v xml:space="preserve">TBD </v>
      </c>
      <c r="Q29" s="194">
        <v>0</v>
      </c>
      <c r="R29" s="382" t="str">
        <f t="shared" si="35"/>
        <v>TBD</v>
      </c>
      <c r="S29" s="383" t="str">
        <f t="shared" si="36"/>
        <v>TBD</v>
      </c>
      <c r="T29" s="392" t="str">
        <f t="shared" si="37"/>
        <v>TBD</v>
      </c>
      <c r="U29" s="393" t="str">
        <f t="shared" si="38"/>
        <v>TBD</v>
      </c>
      <c r="V29" s="383" t="str">
        <f t="shared" si="39"/>
        <v>TBD</v>
      </c>
      <c r="W29" s="383" t="str">
        <f t="shared" si="40"/>
        <v>TBD</v>
      </c>
      <c r="X29" s="392" t="str">
        <f t="shared" si="41"/>
        <v>TBD</v>
      </c>
      <c r="Y29" s="394" t="str">
        <f t="shared" si="42"/>
        <v>TBD</v>
      </c>
      <c r="Z29" s="382" t="str">
        <f t="shared" si="43"/>
        <v>TBD</v>
      </c>
      <c r="AA29" s="394" t="str">
        <f t="shared" si="44"/>
        <v>TBD</v>
      </c>
      <c r="AB29" s="382" t="str">
        <f t="shared" si="45"/>
        <v>TBD</v>
      </c>
      <c r="AC29" s="383" t="str">
        <f t="shared" si="46"/>
        <v>TBD</v>
      </c>
      <c r="AD29" s="392" t="str">
        <f t="shared" si="47"/>
        <v>TBD</v>
      </c>
      <c r="AE29" s="393" t="str">
        <f t="shared" si="48"/>
        <v>TBD</v>
      </c>
      <c r="AF29" s="383" t="str">
        <f t="shared" si="49"/>
        <v>TBD</v>
      </c>
      <c r="AG29" s="394" t="str">
        <f t="shared" si="50"/>
        <v>TBD</v>
      </c>
    </row>
    <row r="30" spans="1:33" x14ac:dyDescent="0.25">
      <c r="A30" s="39" t="s">
        <v>289</v>
      </c>
      <c r="B30" s="195">
        <f t="shared" ref="B30:Q30" si="71">SUM(B21:B29)</f>
        <v>0.02</v>
      </c>
      <c r="C30" s="196">
        <f t="shared" si="71"/>
        <v>0</v>
      </c>
      <c r="D30" s="197">
        <f t="shared" si="71"/>
        <v>0.02</v>
      </c>
      <c r="E30" s="198">
        <f t="shared" si="71"/>
        <v>0</v>
      </c>
      <c r="F30" s="199">
        <f t="shared" si="71"/>
        <v>0.02</v>
      </c>
      <c r="G30" s="200">
        <f t="shared" si="71"/>
        <v>0</v>
      </c>
      <c r="H30" s="195">
        <f t="shared" si="71"/>
        <v>0.02</v>
      </c>
      <c r="I30" s="196">
        <f t="shared" si="71"/>
        <v>0</v>
      </c>
      <c r="J30" s="197">
        <f t="shared" si="71"/>
        <v>0.02</v>
      </c>
      <c r="K30" s="198">
        <f t="shared" si="71"/>
        <v>0</v>
      </c>
      <c r="L30" s="199">
        <f t="shared" si="71"/>
        <v>0.02</v>
      </c>
      <c r="M30" s="196">
        <f t="shared" si="71"/>
        <v>0</v>
      </c>
      <c r="N30" s="197">
        <f t="shared" si="71"/>
        <v>0.02</v>
      </c>
      <c r="O30" s="198">
        <f t="shared" si="71"/>
        <v>0</v>
      </c>
      <c r="P30" s="199">
        <f t="shared" si="71"/>
        <v>0.02</v>
      </c>
      <c r="Q30" s="200">
        <f t="shared" si="71"/>
        <v>0</v>
      </c>
      <c r="R30" s="384">
        <f t="shared" si="35"/>
        <v>0</v>
      </c>
      <c r="S30" s="385" t="str">
        <f t="shared" si="36"/>
        <v>TBD</v>
      </c>
      <c r="T30" s="386">
        <f t="shared" si="37"/>
        <v>0</v>
      </c>
      <c r="U30" s="395" t="str">
        <f t="shared" si="38"/>
        <v>TBD</v>
      </c>
      <c r="V30" s="387">
        <f t="shared" si="39"/>
        <v>0</v>
      </c>
      <c r="W30" s="385" t="str">
        <f t="shared" si="40"/>
        <v>TBD</v>
      </c>
      <c r="X30" s="386">
        <f t="shared" si="41"/>
        <v>0</v>
      </c>
      <c r="Y30" s="396" t="str">
        <f t="shared" si="42"/>
        <v>TBD</v>
      </c>
      <c r="Z30" s="384">
        <f t="shared" si="43"/>
        <v>0</v>
      </c>
      <c r="AA30" s="396" t="str">
        <f t="shared" si="44"/>
        <v>TBD</v>
      </c>
      <c r="AB30" s="384">
        <f t="shared" si="45"/>
        <v>0</v>
      </c>
      <c r="AC30" s="387" t="str">
        <f t="shared" si="46"/>
        <v>TBD</v>
      </c>
      <c r="AD30" s="386">
        <f t="shared" si="47"/>
        <v>0</v>
      </c>
      <c r="AE30" s="395" t="str">
        <f t="shared" si="48"/>
        <v>TBD</v>
      </c>
      <c r="AF30" s="387">
        <f t="shared" si="49"/>
        <v>0</v>
      </c>
      <c r="AG30" s="396" t="str">
        <f t="shared" si="50"/>
        <v>TBD</v>
      </c>
    </row>
    <row r="31" spans="1:33" x14ac:dyDescent="0.25">
      <c r="A31" s="7"/>
      <c r="B31" s="179"/>
      <c r="C31" s="141"/>
      <c r="D31" s="181"/>
      <c r="E31" s="142"/>
      <c r="F31" s="183"/>
      <c r="G31" s="188"/>
      <c r="H31" s="179"/>
      <c r="I31" s="141"/>
      <c r="J31" s="181"/>
      <c r="K31" s="142"/>
      <c r="L31" s="183"/>
      <c r="M31" s="141"/>
      <c r="N31" s="181"/>
      <c r="O31" s="142"/>
      <c r="P31" s="183"/>
      <c r="Q31" s="188"/>
      <c r="R31" s="380"/>
      <c r="S31" s="381"/>
      <c r="T31" s="388"/>
      <c r="U31" s="389"/>
      <c r="V31" s="390"/>
      <c r="W31" s="381"/>
      <c r="X31" s="388"/>
      <c r="Y31" s="391"/>
      <c r="Z31" s="380"/>
      <c r="AA31" s="391"/>
      <c r="AB31" s="380"/>
      <c r="AC31" s="390"/>
      <c r="AD31" s="388"/>
      <c r="AE31" s="389"/>
      <c r="AF31" s="390"/>
      <c r="AG31" s="391"/>
    </row>
    <row r="32" spans="1:33" x14ac:dyDescent="0.25">
      <c r="A32" s="42" t="s">
        <v>299</v>
      </c>
      <c r="B32" s="204">
        <v>0</v>
      </c>
      <c r="C32" s="205">
        <f>B32*C$38</f>
        <v>0</v>
      </c>
      <c r="D32" s="206">
        <v>0</v>
      </c>
      <c r="E32" s="207">
        <f>D32*E$38</f>
        <v>0</v>
      </c>
      <c r="F32" s="208">
        <v>0</v>
      </c>
      <c r="G32" s="209">
        <f>F32*G$38</f>
        <v>0</v>
      </c>
      <c r="H32" s="204">
        <v>0</v>
      </c>
      <c r="I32" s="205">
        <f>H32*I$38</f>
        <v>0</v>
      </c>
      <c r="J32" s="206">
        <v>0</v>
      </c>
      <c r="K32" s="207">
        <f>J32*K$38</f>
        <v>0</v>
      </c>
      <c r="L32" s="208">
        <v>0</v>
      </c>
      <c r="M32" s="205">
        <f>L32*M$38</f>
        <v>0</v>
      </c>
      <c r="N32" s="206">
        <v>0</v>
      </c>
      <c r="O32" s="207">
        <f>N32*O$38</f>
        <v>0</v>
      </c>
      <c r="P32" s="208">
        <v>0</v>
      </c>
      <c r="Q32" s="209">
        <f>P32*Q$38</f>
        <v>0</v>
      </c>
      <c r="R32" s="397">
        <f t="shared" ref="R32:R33" si="72">IFERROR(J32-H32,"TBD")</f>
        <v>0</v>
      </c>
      <c r="S32" s="398" t="str">
        <f t="shared" ref="S32:S33" si="73">IFERROR(K32/I32-1,"TBD")</f>
        <v>TBD</v>
      </c>
      <c r="T32" s="399">
        <f t="shared" ref="T32:T33" si="74">IFERROR(L32-J32,"TBD")</f>
        <v>0</v>
      </c>
      <c r="U32" s="400" t="str">
        <f t="shared" ref="U32:U33" si="75">IFERROR(M32/K32-1,"TBD")</f>
        <v>TBD</v>
      </c>
      <c r="V32" s="398">
        <f t="shared" ref="V32:V33" si="76">IFERROR(N32-L32,"TBD")</f>
        <v>0</v>
      </c>
      <c r="W32" s="398" t="str">
        <f t="shared" ref="W32:W33" si="77">IFERROR(O32/M32-1,"TBD")</f>
        <v>TBD</v>
      </c>
      <c r="X32" s="399">
        <f t="shared" ref="X32:X33" si="78">IFERROR(P32-N32,"TBD")</f>
        <v>0</v>
      </c>
      <c r="Y32" s="401" t="str">
        <f t="shared" ref="Y32:Y33" si="79">IFERROR(Q32/O32-1,"TBD")</f>
        <v>TBD</v>
      </c>
      <c r="Z32" s="397">
        <f t="shared" si="43"/>
        <v>0</v>
      </c>
      <c r="AA32" s="401" t="str">
        <f t="shared" si="44"/>
        <v>TBD</v>
      </c>
      <c r="AB32" s="397">
        <f t="shared" ref="AB32:AB33" si="80">IFERROR(H32-B32,"TBD")</f>
        <v>0</v>
      </c>
      <c r="AC32" s="398" t="str">
        <f t="shared" ref="AC32:AC33" si="81">IFERROR(I32/C32-1,"TBD")</f>
        <v>TBD</v>
      </c>
      <c r="AD32" s="399">
        <f t="shared" ref="AD32:AD33" si="82">IFERROR(J32-D32,"TBD")</f>
        <v>0</v>
      </c>
      <c r="AE32" s="400" t="str">
        <f t="shared" ref="AE32:AE33" si="83">IFERROR(K32/E32-1,"TBD")</f>
        <v>TBD</v>
      </c>
      <c r="AF32" s="398">
        <f t="shared" ref="AF32:AF33" si="84">IFERROR(L32-F32,"TBD")</f>
        <v>0</v>
      </c>
      <c r="AG32" s="401" t="str">
        <f t="shared" ref="AG32:AG33" si="85">IFERROR(M32/G32-1,"TBD")</f>
        <v>TBD</v>
      </c>
    </row>
    <row r="33" spans="1:33" x14ac:dyDescent="0.25">
      <c r="A33" s="40" t="s">
        <v>300</v>
      </c>
      <c r="B33" s="195">
        <f t="shared" ref="B33:Q33" si="86">SUM(B18,B30,B32)</f>
        <v>0.02</v>
      </c>
      <c r="C33" s="196">
        <f t="shared" si="86"/>
        <v>0</v>
      </c>
      <c r="D33" s="197">
        <f t="shared" si="86"/>
        <v>0.02</v>
      </c>
      <c r="E33" s="198">
        <f t="shared" si="86"/>
        <v>0</v>
      </c>
      <c r="F33" s="199">
        <f t="shared" si="86"/>
        <v>0.02</v>
      </c>
      <c r="G33" s="200">
        <f t="shared" si="86"/>
        <v>0</v>
      </c>
      <c r="H33" s="195">
        <f t="shared" si="86"/>
        <v>0.02</v>
      </c>
      <c r="I33" s="196">
        <f t="shared" si="86"/>
        <v>0</v>
      </c>
      <c r="J33" s="197">
        <f t="shared" si="86"/>
        <v>0.02</v>
      </c>
      <c r="K33" s="198">
        <f t="shared" si="86"/>
        <v>0</v>
      </c>
      <c r="L33" s="199">
        <f t="shared" si="86"/>
        <v>0.02</v>
      </c>
      <c r="M33" s="196">
        <f t="shared" si="86"/>
        <v>0</v>
      </c>
      <c r="N33" s="197">
        <f t="shared" si="86"/>
        <v>0.02</v>
      </c>
      <c r="O33" s="198">
        <f t="shared" si="86"/>
        <v>0</v>
      </c>
      <c r="P33" s="199">
        <f t="shared" si="86"/>
        <v>0.02</v>
      </c>
      <c r="Q33" s="200">
        <f t="shared" si="86"/>
        <v>0</v>
      </c>
      <c r="R33" s="384">
        <f t="shared" si="72"/>
        <v>0</v>
      </c>
      <c r="S33" s="385" t="str">
        <f t="shared" si="73"/>
        <v>TBD</v>
      </c>
      <c r="T33" s="386">
        <f t="shared" si="74"/>
        <v>0</v>
      </c>
      <c r="U33" s="395" t="str">
        <f t="shared" si="75"/>
        <v>TBD</v>
      </c>
      <c r="V33" s="387">
        <f t="shared" si="76"/>
        <v>0</v>
      </c>
      <c r="W33" s="385" t="str">
        <f t="shared" si="77"/>
        <v>TBD</v>
      </c>
      <c r="X33" s="386">
        <f t="shared" si="78"/>
        <v>0</v>
      </c>
      <c r="Y33" s="396" t="str">
        <f t="shared" si="79"/>
        <v>TBD</v>
      </c>
      <c r="Z33" s="384">
        <f t="shared" si="43"/>
        <v>0</v>
      </c>
      <c r="AA33" s="396" t="str">
        <f t="shared" si="44"/>
        <v>TBD</v>
      </c>
      <c r="AB33" s="384">
        <f t="shared" si="80"/>
        <v>0</v>
      </c>
      <c r="AC33" s="387" t="str">
        <f t="shared" si="81"/>
        <v>TBD</v>
      </c>
      <c r="AD33" s="386">
        <f t="shared" si="82"/>
        <v>0</v>
      </c>
      <c r="AE33" s="395" t="str">
        <f t="shared" si="83"/>
        <v>TBD</v>
      </c>
      <c r="AF33" s="387">
        <f t="shared" si="84"/>
        <v>0</v>
      </c>
      <c r="AG33" s="396" t="str">
        <f t="shared" si="85"/>
        <v>TBD</v>
      </c>
    </row>
    <row r="34" spans="1:33" x14ac:dyDescent="0.25">
      <c r="B34" s="179"/>
      <c r="C34" s="141"/>
      <c r="D34" s="181"/>
      <c r="E34" s="142"/>
      <c r="F34" s="183"/>
      <c r="G34" s="188"/>
      <c r="H34" s="179"/>
      <c r="I34" s="141"/>
      <c r="J34" s="181"/>
      <c r="K34" s="142"/>
      <c r="L34" s="183"/>
      <c r="M34" s="141"/>
      <c r="N34" s="181"/>
      <c r="O34" s="142"/>
      <c r="P34" s="183"/>
      <c r="Q34" s="188"/>
      <c r="R34" s="380"/>
      <c r="S34" s="381"/>
      <c r="T34" s="388"/>
      <c r="U34" s="389"/>
      <c r="V34" s="390"/>
      <c r="W34" s="381"/>
      <c r="X34" s="388"/>
      <c r="Y34" s="391"/>
      <c r="Z34" s="380"/>
      <c r="AA34" s="391"/>
      <c r="AB34" s="380"/>
      <c r="AC34" s="390"/>
      <c r="AD34" s="388"/>
      <c r="AE34" s="389"/>
      <c r="AF34" s="390"/>
      <c r="AG34" s="391"/>
    </row>
    <row r="35" spans="1:33" x14ac:dyDescent="0.25">
      <c r="A35" s="42" t="s">
        <v>301</v>
      </c>
      <c r="B35" s="210" t="str">
        <f>IFERROR(C35/C$38,"TBD ")</f>
        <v xml:space="preserve">TBD </v>
      </c>
      <c r="C35" s="211">
        <v>0</v>
      </c>
      <c r="D35" s="212" t="str">
        <f>IFERROR(E35/E$38,"TBD ")</f>
        <v xml:space="preserve">TBD </v>
      </c>
      <c r="E35" s="213">
        <v>0</v>
      </c>
      <c r="F35" s="214" t="str">
        <f>IFERROR(G35/G$38,"TBD ")</f>
        <v xml:space="preserve">TBD </v>
      </c>
      <c r="G35" s="215">
        <v>0</v>
      </c>
      <c r="H35" s="210" t="str">
        <f t="shared" ref="H35" si="87">IFERROR(I35/I$38,"TBD ")</f>
        <v xml:space="preserve">TBD </v>
      </c>
      <c r="I35" s="211">
        <v>0</v>
      </c>
      <c r="J35" s="212" t="str">
        <f t="shared" ref="J35" si="88">IFERROR(K35/K$38,"TBD ")</f>
        <v xml:space="preserve">TBD </v>
      </c>
      <c r="K35" s="213">
        <v>0</v>
      </c>
      <c r="L35" s="214" t="str">
        <f t="shared" ref="L35:P35" si="89">IFERROR(M35/M$38,"TBD ")</f>
        <v xml:space="preserve">TBD </v>
      </c>
      <c r="M35" s="211">
        <v>0</v>
      </c>
      <c r="N35" s="212" t="str">
        <f t="shared" si="89"/>
        <v xml:space="preserve">TBD </v>
      </c>
      <c r="O35" s="213">
        <v>0</v>
      </c>
      <c r="P35" s="214" t="str">
        <f t="shared" si="89"/>
        <v xml:space="preserve">TBD </v>
      </c>
      <c r="Q35" s="215">
        <v>0</v>
      </c>
      <c r="R35" s="397" t="str">
        <f t="shared" ref="R35:R36" si="90">IFERROR(J35-H35,"TBD")</f>
        <v>TBD</v>
      </c>
      <c r="S35" s="398" t="str">
        <f t="shared" ref="S35:Y38" si="91">IFERROR(K35/I35-1,"TBD")</f>
        <v>TBD</v>
      </c>
      <c r="T35" s="399" t="str">
        <f t="shared" ref="T35:T36" si="92">IFERROR(L35-J35,"TBD")</f>
        <v>TBD</v>
      </c>
      <c r="U35" s="400" t="str">
        <f t="shared" ref="U35:U36" si="93">IFERROR(M35/K35-1,"TBD")</f>
        <v>TBD</v>
      </c>
      <c r="V35" s="398" t="str">
        <f t="shared" ref="V35:V36" si="94">IFERROR(N35-L35,"TBD")</f>
        <v>TBD</v>
      </c>
      <c r="W35" s="398" t="str">
        <f t="shared" ref="W35:W36" si="95">IFERROR(O35/M35-1,"TBD")</f>
        <v>TBD</v>
      </c>
      <c r="X35" s="399" t="str">
        <f t="shared" ref="X35:X36" si="96">IFERROR(P35-N35,"TBD")</f>
        <v>TBD</v>
      </c>
      <c r="Y35" s="401" t="str">
        <f t="shared" ref="Y35:Y36" si="97">IFERROR(Q35/O35-1,"TBD")</f>
        <v>TBD</v>
      </c>
      <c r="Z35" s="397" t="str">
        <f t="shared" si="43"/>
        <v>TBD</v>
      </c>
      <c r="AA35" s="401" t="str">
        <f t="shared" si="44"/>
        <v>TBD</v>
      </c>
      <c r="AB35" s="397" t="str">
        <f t="shared" ref="AB35:AB36" si="98">IFERROR(H35-B35,"TBD")</f>
        <v>TBD</v>
      </c>
      <c r="AC35" s="398" t="str">
        <f t="shared" ref="AC35:AC38" si="99">IFERROR(I35/C35-1,"TBD")</f>
        <v>TBD</v>
      </c>
      <c r="AD35" s="399" t="str">
        <f t="shared" ref="AD35:AD36" si="100">IFERROR(J35-D35,"TBD")</f>
        <v>TBD</v>
      </c>
      <c r="AE35" s="400" t="str">
        <f t="shared" ref="AE35:AE36" si="101">IFERROR(K35/E35-1,"TBD")</f>
        <v>TBD</v>
      </c>
      <c r="AF35" s="398" t="str">
        <f t="shared" ref="AF35:AF36" si="102">IFERROR(L35-F35,"TBD")</f>
        <v>TBD</v>
      </c>
      <c r="AG35" s="401" t="str">
        <f t="shared" ref="AG35:AG36" si="103">IFERROR(M35/G35-1,"TBD")</f>
        <v>TBD</v>
      </c>
    </row>
    <row r="36" spans="1:33" x14ac:dyDescent="0.25">
      <c r="A36" s="41" t="s">
        <v>302</v>
      </c>
      <c r="B36" s="195">
        <f t="shared" ref="B36:Q36" si="104">SUM(B33,B35)</f>
        <v>0.02</v>
      </c>
      <c r="C36" s="196">
        <f t="shared" si="104"/>
        <v>0</v>
      </c>
      <c r="D36" s="197">
        <f t="shared" si="104"/>
        <v>0.02</v>
      </c>
      <c r="E36" s="198">
        <f t="shared" si="104"/>
        <v>0</v>
      </c>
      <c r="F36" s="199">
        <f t="shared" si="104"/>
        <v>0.02</v>
      </c>
      <c r="G36" s="200">
        <f t="shared" si="104"/>
        <v>0</v>
      </c>
      <c r="H36" s="195">
        <f t="shared" si="104"/>
        <v>0.02</v>
      </c>
      <c r="I36" s="196">
        <f t="shared" si="104"/>
        <v>0</v>
      </c>
      <c r="J36" s="197">
        <f t="shared" si="104"/>
        <v>0.02</v>
      </c>
      <c r="K36" s="198">
        <f t="shared" si="104"/>
        <v>0</v>
      </c>
      <c r="L36" s="199">
        <f t="shared" si="104"/>
        <v>0.02</v>
      </c>
      <c r="M36" s="196">
        <f t="shared" si="104"/>
        <v>0</v>
      </c>
      <c r="N36" s="197">
        <f t="shared" si="104"/>
        <v>0.02</v>
      </c>
      <c r="O36" s="198">
        <f t="shared" si="104"/>
        <v>0</v>
      </c>
      <c r="P36" s="199">
        <f t="shared" si="104"/>
        <v>0.02</v>
      </c>
      <c r="Q36" s="200">
        <f t="shared" si="104"/>
        <v>0</v>
      </c>
      <c r="R36" s="384">
        <f t="shared" si="90"/>
        <v>0</v>
      </c>
      <c r="S36" s="385" t="str">
        <f t="shared" si="91"/>
        <v>TBD</v>
      </c>
      <c r="T36" s="386">
        <f t="shared" si="92"/>
        <v>0</v>
      </c>
      <c r="U36" s="395" t="str">
        <f t="shared" si="93"/>
        <v>TBD</v>
      </c>
      <c r="V36" s="387">
        <f t="shared" si="94"/>
        <v>0</v>
      </c>
      <c r="W36" s="385" t="str">
        <f t="shared" si="95"/>
        <v>TBD</v>
      </c>
      <c r="X36" s="386">
        <f t="shared" si="96"/>
        <v>0</v>
      </c>
      <c r="Y36" s="396" t="str">
        <f t="shared" si="97"/>
        <v>TBD</v>
      </c>
      <c r="Z36" s="384">
        <f t="shared" si="43"/>
        <v>0</v>
      </c>
      <c r="AA36" s="396" t="str">
        <f t="shared" si="44"/>
        <v>TBD</v>
      </c>
      <c r="AB36" s="384">
        <f t="shared" si="98"/>
        <v>0</v>
      </c>
      <c r="AC36" s="387" t="str">
        <f t="shared" si="99"/>
        <v>TBD</v>
      </c>
      <c r="AD36" s="386">
        <f t="shared" si="100"/>
        <v>0</v>
      </c>
      <c r="AE36" s="395" t="str">
        <f t="shared" si="101"/>
        <v>TBD</v>
      </c>
      <c r="AF36" s="387">
        <f t="shared" si="102"/>
        <v>0</v>
      </c>
      <c r="AG36" s="396" t="str">
        <f t="shared" si="103"/>
        <v>TBD</v>
      </c>
    </row>
    <row r="37" spans="1:33" x14ac:dyDescent="0.25">
      <c r="B37" s="179"/>
      <c r="C37" s="141"/>
      <c r="D37" s="181"/>
      <c r="E37" s="142"/>
      <c r="F37" s="183"/>
      <c r="G37" s="188"/>
      <c r="H37" s="179"/>
      <c r="I37" s="141"/>
      <c r="J37" s="181"/>
      <c r="K37" s="142"/>
      <c r="L37" s="183"/>
      <c r="M37" s="141"/>
      <c r="N37" s="181"/>
      <c r="O37" s="142"/>
      <c r="P37" s="183"/>
      <c r="Q37" s="188"/>
      <c r="R37" s="380"/>
      <c r="S37" s="381"/>
      <c r="T37" s="388"/>
      <c r="U37" s="389"/>
      <c r="V37" s="390"/>
      <c r="W37" s="381"/>
      <c r="X37" s="388"/>
      <c r="Y37" s="391"/>
      <c r="Z37" s="380"/>
      <c r="AA37" s="391"/>
      <c r="AB37" s="380"/>
      <c r="AC37" s="390"/>
      <c r="AD37" s="388"/>
      <c r="AE37" s="389"/>
      <c r="AF37" s="390"/>
      <c r="AG37" s="391"/>
    </row>
    <row r="38" spans="1:33" x14ac:dyDescent="0.25">
      <c r="A38" s="275" t="s">
        <v>303</v>
      </c>
      <c r="B38" s="189"/>
      <c r="C38" s="216">
        <v>0</v>
      </c>
      <c r="D38" s="191"/>
      <c r="E38" s="217">
        <v>0</v>
      </c>
      <c r="F38" s="193"/>
      <c r="G38" s="218">
        <v>0</v>
      </c>
      <c r="H38" s="189"/>
      <c r="I38" s="216">
        <v>0</v>
      </c>
      <c r="J38" s="191"/>
      <c r="K38" s="217">
        <v>0</v>
      </c>
      <c r="L38" s="193"/>
      <c r="M38" s="216">
        <v>0</v>
      </c>
      <c r="N38" s="191"/>
      <c r="O38" s="217">
        <v>0</v>
      </c>
      <c r="P38" s="193"/>
      <c r="Q38" s="218">
        <v>0</v>
      </c>
      <c r="R38" s="382"/>
      <c r="S38" s="383" t="str">
        <f t="shared" si="91"/>
        <v>TBD</v>
      </c>
      <c r="T38" s="392"/>
      <c r="U38" s="393" t="str">
        <f t="shared" si="91"/>
        <v>TBD</v>
      </c>
      <c r="V38" s="383"/>
      <c r="W38" s="383" t="str">
        <f t="shared" si="91"/>
        <v>TBD</v>
      </c>
      <c r="X38" s="392"/>
      <c r="Y38" s="394" t="str">
        <f t="shared" si="91"/>
        <v>TBD</v>
      </c>
      <c r="Z38" s="382"/>
      <c r="AA38" s="394" t="str">
        <f t="shared" si="44"/>
        <v>TBD</v>
      </c>
      <c r="AB38" s="382"/>
      <c r="AC38" s="383" t="str">
        <f t="shared" si="99"/>
        <v>TBD</v>
      </c>
      <c r="AD38" s="392"/>
      <c r="AE38" s="393" t="str">
        <f t="shared" ref="AE38" si="105">IFERROR(K38/E38-1,"TBD")</f>
        <v>TBD</v>
      </c>
      <c r="AF38" s="383"/>
      <c r="AG38" s="394" t="str">
        <f t="shared" ref="AG38" si="106">IFERROR(M38/G38-1,"TBD")</f>
        <v>TBD</v>
      </c>
    </row>
    <row r="40" spans="1:33" x14ac:dyDescent="0.25">
      <c r="A40" t="s">
        <v>304</v>
      </c>
    </row>
    <row r="42" spans="1:33" ht="21.75" thickBot="1" x14ac:dyDescent="0.4">
      <c r="A42" s="131" t="s">
        <v>61</v>
      </c>
      <c r="B42" s="131"/>
      <c r="C42" s="131"/>
      <c r="D42" s="134"/>
      <c r="E42" s="131"/>
    </row>
    <row r="43" spans="1:33" ht="16.5" thickTop="1" x14ac:dyDescent="0.25">
      <c r="A43" s="82"/>
      <c r="B43" s="82"/>
      <c r="C43" s="82"/>
      <c r="D43" s="82"/>
      <c r="E43" s="82"/>
      <c r="F43" s="82"/>
      <c r="G43" s="82"/>
      <c r="H43" s="82"/>
      <c r="I43" s="82"/>
      <c r="J43" s="82"/>
      <c r="K43" s="82"/>
      <c r="L43" s="82"/>
      <c r="M43" s="82"/>
      <c r="N43" s="82"/>
    </row>
    <row r="44" spans="1:33" ht="15.75" x14ac:dyDescent="0.25">
      <c r="A44" s="605"/>
      <c r="B44" s="606"/>
      <c r="C44" s="606"/>
      <c r="D44" s="606"/>
      <c r="E44" s="606"/>
      <c r="F44" s="606"/>
      <c r="G44" s="606"/>
      <c r="H44" s="606"/>
      <c r="I44" s="606"/>
      <c r="J44" s="606"/>
      <c r="K44" s="606"/>
      <c r="L44" s="606"/>
      <c r="M44" s="606"/>
      <c r="N44" s="606"/>
      <c r="O44" s="606"/>
      <c r="P44" s="606"/>
      <c r="Q44" s="606"/>
    </row>
    <row r="45" spans="1:33" ht="15.75" x14ac:dyDescent="0.25">
      <c r="A45" s="605"/>
      <c r="B45" s="606"/>
      <c r="C45" s="606"/>
      <c r="D45" s="606"/>
      <c r="E45" s="606"/>
      <c r="F45" s="606"/>
      <c r="G45" s="606"/>
      <c r="H45" s="606"/>
      <c r="I45" s="606"/>
      <c r="J45" s="606"/>
      <c r="K45" s="606"/>
      <c r="L45" s="606"/>
      <c r="M45" s="606"/>
      <c r="N45" s="606"/>
      <c r="O45" s="606"/>
      <c r="P45" s="606"/>
      <c r="Q45" s="606"/>
    </row>
    <row r="46" spans="1:33" ht="15.75" x14ac:dyDescent="0.25">
      <c r="A46" s="605"/>
      <c r="B46" s="606"/>
      <c r="C46" s="606"/>
      <c r="D46" s="606"/>
      <c r="E46" s="606"/>
      <c r="F46" s="606"/>
      <c r="G46" s="606"/>
      <c r="H46" s="606"/>
      <c r="I46" s="606"/>
      <c r="J46" s="606"/>
      <c r="K46" s="606"/>
      <c r="L46" s="606"/>
      <c r="M46" s="606"/>
      <c r="N46" s="606"/>
      <c r="O46" s="606"/>
      <c r="P46" s="606"/>
      <c r="Q46" s="606"/>
    </row>
  </sheetData>
  <mergeCells count="8">
    <mergeCell ref="A44:Q44"/>
    <mergeCell ref="A45:Q45"/>
    <mergeCell ref="A46:Q46"/>
    <mergeCell ref="Z9:AA10"/>
    <mergeCell ref="B3:M3"/>
    <mergeCell ref="B4:M4"/>
    <mergeCell ref="B5:M5"/>
    <mergeCell ref="B6:M6"/>
  </mergeCells>
  <printOptions horizontalCentered="1"/>
  <pageMargins left="0.25" right="0.25" top="0.75" bottom="0.75" header="0.25" footer="0.25"/>
  <pageSetup scale="37" orientation="landscape" horizontalDpi="1200" verticalDpi="1200" r:id="rId1"/>
  <headerFooter>
    <oddFooter>&amp;L2026 IND &amp;&amp; SG ACA MEDICAL RATE FILINGS -- COMMON EXHIBITS&amp;R04/07/2025</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1F1F9-5243-40C2-A716-5EF716EF8746}">
  <sheetPr codeName="Sheet11">
    <tabColor theme="9" tint="-0.499984740745262"/>
    <pageSetUpPr fitToPage="1"/>
  </sheetPr>
  <dimension ref="A1:R32"/>
  <sheetViews>
    <sheetView showGridLines="0" zoomScale="70" zoomScaleNormal="70" workbookViewId="0">
      <pane xSplit="1" ySplit="10" topLeftCell="B11" activePane="bottomRight" state="frozen"/>
      <selection pane="topRight"/>
      <selection pane="bottomLeft"/>
      <selection pane="bottomRight" activeCell="B11" sqref="B11"/>
    </sheetView>
  </sheetViews>
  <sheetFormatPr defaultRowHeight="15" x14ac:dyDescent="0.25"/>
  <cols>
    <col min="1" max="1" width="86.5703125" bestFit="1" customWidth="1"/>
    <col min="2" max="3" width="11" customWidth="1"/>
  </cols>
  <sheetData>
    <row r="1" spans="1:13" ht="26.25" x14ac:dyDescent="0.4">
      <c r="A1" s="270" t="s">
        <v>305</v>
      </c>
    </row>
    <row r="2" spans="1:13" x14ac:dyDescent="0.25">
      <c r="A2" s="259"/>
    </row>
    <row r="3" spans="1:13" ht="18.75" x14ac:dyDescent="0.3">
      <c r="A3" s="98" t="s">
        <v>38</v>
      </c>
      <c r="B3" s="621" t="str">
        <f>CarrierName</f>
        <v>ABC Company</v>
      </c>
      <c r="C3" s="622"/>
      <c r="D3" s="622"/>
      <c r="E3" s="622"/>
      <c r="F3" s="622"/>
      <c r="G3" s="622"/>
      <c r="H3" s="622"/>
      <c r="I3" s="622"/>
      <c r="J3" s="622"/>
      <c r="K3" s="622"/>
      <c r="L3" s="622"/>
      <c r="M3" s="622"/>
    </row>
    <row r="4" spans="1:13" ht="18.75" x14ac:dyDescent="0.3">
      <c r="A4" s="98" t="s">
        <v>0</v>
      </c>
      <c r="B4" s="621" t="str">
        <f>Market</f>
        <v>Individual</v>
      </c>
      <c r="C4" s="622"/>
      <c r="D4" s="622"/>
      <c r="E4" s="622"/>
      <c r="F4" s="622"/>
      <c r="G4" s="622"/>
      <c r="H4" s="622"/>
      <c r="I4" s="622"/>
      <c r="J4" s="622"/>
      <c r="K4" s="622"/>
      <c r="L4" s="622"/>
      <c r="M4" s="622"/>
    </row>
    <row r="5" spans="1:13" ht="18.75" x14ac:dyDescent="0.3">
      <c r="A5" s="98" t="s">
        <v>40</v>
      </c>
      <c r="B5" s="621">
        <f>PlanYear</f>
        <v>2026</v>
      </c>
      <c r="C5" s="622"/>
      <c r="D5" s="622"/>
      <c r="E5" s="622"/>
      <c r="F5" s="622"/>
      <c r="G5" s="622"/>
      <c r="H5" s="622"/>
      <c r="I5" s="622"/>
      <c r="J5" s="622"/>
      <c r="K5" s="622"/>
      <c r="L5" s="622"/>
      <c r="M5" s="622"/>
    </row>
    <row r="6" spans="1:13" ht="18.75" x14ac:dyDescent="0.3">
      <c r="A6" s="98" t="s">
        <v>41</v>
      </c>
      <c r="B6" s="621">
        <f>ExperYear</f>
        <v>2024</v>
      </c>
      <c r="C6" s="622"/>
      <c r="D6" s="622"/>
      <c r="E6" s="622"/>
      <c r="F6" s="622"/>
      <c r="G6" s="622"/>
      <c r="H6" s="622"/>
      <c r="I6" s="622"/>
      <c r="J6" s="622"/>
      <c r="K6" s="622"/>
      <c r="L6" s="622"/>
      <c r="M6" s="622"/>
    </row>
    <row r="7" spans="1:13" x14ac:dyDescent="0.25">
      <c r="A7" s="259"/>
    </row>
    <row r="9" spans="1:13" ht="45.75" customHeight="1" x14ac:dyDescent="0.25">
      <c r="B9" s="59" t="str">
        <f>"PROJECTED 
(i.e., EXPECTED), "&amp;PlanYear</f>
        <v>PROJECTED 
(i.e., EXPECTED), 2026</v>
      </c>
      <c r="C9" s="19"/>
    </row>
    <row r="10" spans="1:13" ht="30" x14ac:dyDescent="0.25">
      <c r="A10" s="51" t="s">
        <v>65</v>
      </c>
      <c r="B10" s="21" t="s">
        <v>281</v>
      </c>
      <c r="C10" s="21" t="s">
        <v>282</v>
      </c>
    </row>
    <row r="11" spans="1:13" x14ac:dyDescent="0.25">
      <c r="A11" t="s">
        <v>306</v>
      </c>
    </row>
    <row r="12" spans="1:13" x14ac:dyDescent="0.25">
      <c r="A12" s="8" t="s">
        <v>307</v>
      </c>
      <c r="B12" s="225">
        <f>'WA Exh 11 - Retention'!P18</f>
        <v>0</v>
      </c>
      <c r="C12" s="15">
        <f>B12*$C$21</f>
        <v>0</v>
      </c>
    </row>
    <row r="13" spans="1:13" x14ac:dyDescent="0.25">
      <c r="A13" s="8" t="s">
        <v>308</v>
      </c>
      <c r="B13" s="225">
        <f>'WA Exh 11 - Retention'!P30</f>
        <v>0.02</v>
      </c>
      <c r="C13" s="15">
        <f>B13*$C$21</f>
        <v>0</v>
      </c>
    </row>
    <row r="14" spans="1:13" x14ac:dyDescent="0.25">
      <c r="A14" s="9" t="s">
        <v>309</v>
      </c>
      <c r="B14" s="226">
        <f>'WA Exh 11 - Retention'!P32</f>
        <v>0</v>
      </c>
      <c r="C14" s="45">
        <f>B14*$C$21</f>
        <v>0</v>
      </c>
    </row>
    <row r="15" spans="1:13" x14ac:dyDescent="0.25">
      <c r="A15" s="8" t="s">
        <v>310</v>
      </c>
      <c r="B15" s="44">
        <f>SUM(B12:B14)</f>
        <v>0.02</v>
      </c>
      <c r="C15" s="15">
        <f>SUM(C12:C14)</f>
        <v>0</v>
      </c>
    </row>
    <row r="17" spans="1:18" x14ac:dyDescent="0.25">
      <c r="A17" t="s">
        <v>311</v>
      </c>
    </row>
    <row r="18" spans="1:18" x14ac:dyDescent="0.25">
      <c r="A18" s="8" t="s">
        <v>312</v>
      </c>
      <c r="C18" s="595">
        <f>'WA Exh 11 - Retention'!Q35</f>
        <v>0</v>
      </c>
    </row>
    <row r="19" spans="1:18" x14ac:dyDescent="0.25">
      <c r="A19" s="8" t="s">
        <v>313</v>
      </c>
      <c r="C19" s="180">
        <v>0</v>
      </c>
    </row>
    <row r="20" spans="1:18" x14ac:dyDescent="0.25">
      <c r="A20" s="8" t="s">
        <v>314</v>
      </c>
      <c r="C20" s="180" t="str">
        <f>'WA Exh 10 - Risk Adjustment'!O38</f>
        <v>TBD</v>
      </c>
    </row>
    <row r="21" spans="1:18" x14ac:dyDescent="0.25">
      <c r="A21" s="8" t="s">
        <v>315</v>
      </c>
      <c r="C21" s="595">
        <f>'WA Exh 11 - Retention'!Q38</f>
        <v>0</v>
      </c>
    </row>
    <row r="23" spans="1:18" x14ac:dyDescent="0.25">
      <c r="A23" t="s">
        <v>316</v>
      </c>
      <c r="C23" s="15">
        <f>SUM(C21,C20)</f>
        <v>0</v>
      </c>
    </row>
    <row r="24" spans="1:18" x14ac:dyDescent="0.25">
      <c r="A24" s="46" t="s">
        <v>317</v>
      </c>
      <c r="B24" s="46"/>
      <c r="C24" s="45">
        <f>C19+C15+C18</f>
        <v>0</v>
      </c>
    </row>
    <row r="25" spans="1:18" x14ac:dyDescent="0.25">
      <c r="A25" t="s">
        <v>318</v>
      </c>
      <c r="C25" s="15">
        <f>C23-C24</f>
        <v>0</v>
      </c>
    </row>
    <row r="28" spans="1:18" ht="21.75" thickBot="1" x14ac:dyDescent="0.4">
      <c r="A28" s="131" t="s">
        <v>61</v>
      </c>
      <c r="B28" s="131"/>
      <c r="C28" s="131"/>
      <c r="D28" s="134"/>
      <c r="E28" s="131"/>
    </row>
    <row r="29" spans="1:18" ht="16.5" thickTop="1" x14ac:dyDescent="0.25">
      <c r="A29" s="82"/>
      <c r="B29" s="82"/>
      <c r="C29" s="82"/>
      <c r="D29" s="82"/>
      <c r="E29" s="82"/>
      <c r="F29" s="82"/>
      <c r="G29" s="82"/>
      <c r="H29" s="82"/>
      <c r="I29" s="82"/>
      <c r="J29" s="82"/>
      <c r="K29" s="82"/>
      <c r="L29" s="82"/>
      <c r="M29" s="82"/>
      <c r="N29" s="82"/>
      <c r="O29" s="82"/>
    </row>
    <row r="30" spans="1:18" ht="15.75" x14ac:dyDescent="0.25">
      <c r="A30" s="605"/>
      <c r="B30" s="606"/>
      <c r="C30" s="606"/>
      <c r="D30" s="606"/>
      <c r="E30" s="606"/>
      <c r="F30" s="606"/>
      <c r="G30" s="606"/>
      <c r="H30" s="606"/>
      <c r="I30" s="606"/>
      <c r="J30" s="606"/>
      <c r="K30" s="606"/>
      <c r="L30" s="606"/>
      <c r="M30" s="606"/>
      <c r="N30" s="363"/>
      <c r="O30" s="363"/>
      <c r="P30" s="363"/>
      <c r="Q30" s="363"/>
      <c r="R30" s="363"/>
    </row>
    <row r="31" spans="1:18" ht="15.75" x14ac:dyDescent="0.25">
      <c r="A31" s="605"/>
      <c r="B31" s="606"/>
      <c r="C31" s="606"/>
      <c r="D31" s="606"/>
      <c r="E31" s="606"/>
      <c r="F31" s="606"/>
      <c r="G31" s="606"/>
      <c r="H31" s="606"/>
      <c r="I31" s="606"/>
      <c r="J31" s="606"/>
      <c r="K31" s="606"/>
      <c r="L31" s="606"/>
      <c r="M31" s="606"/>
      <c r="N31" s="363"/>
      <c r="O31" s="363"/>
      <c r="P31" s="363"/>
      <c r="Q31" s="363"/>
      <c r="R31" s="363"/>
    </row>
    <row r="32" spans="1:18" ht="15.75" x14ac:dyDescent="0.25">
      <c r="A32" s="605"/>
      <c r="B32" s="606"/>
      <c r="C32" s="606"/>
      <c r="D32" s="606"/>
      <c r="E32" s="606"/>
      <c r="F32" s="606"/>
      <c r="G32" s="606"/>
      <c r="H32" s="606"/>
      <c r="I32" s="606"/>
      <c r="J32" s="606"/>
      <c r="K32" s="606"/>
      <c r="L32" s="606"/>
      <c r="M32" s="606"/>
      <c r="N32" s="363"/>
      <c r="O32" s="363"/>
      <c r="P32" s="363"/>
      <c r="Q32" s="363"/>
      <c r="R32" s="363"/>
    </row>
  </sheetData>
  <mergeCells count="7">
    <mergeCell ref="A31:M31"/>
    <mergeCell ref="A32:M32"/>
    <mergeCell ref="B3:M3"/>
    <mergeCell ref="B4:M4"/>
    <mergeCell ref="B5:M5"/>
    <mergeCell ref="B6:M6"/>
    <mergeCell ref="A30:M30"/>
  </mergeCells>
  <conditionalFormatting sqref="C25">
    <cfRule type="expression" dxfId="0" priority="1">
      <formula>ABS(C25)&gt;0.5</formula>
    </cfRule>
  </conditionalFormatting>
  <printOptions horizontalCentered="1"/>
  <pageMargins left="0.25" right="0.25" top="0.75" bottom="0.75" header="0.25" footer="0.25"/>
  <pageSetup scale="67" orientation="landscape" horizontalDpi="1200" verticalDpi="1200" r:id="rId1"/>
  <headerFooter>
    <oddFooter>&amp;L2026 IND &amp;&amp; SG ACA MEDICAL RATE FILINGS -- COMMON EXHIBITS&amp;R04/07/2025</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E28DEBE00B7941905D5370756A9BBA" ma:contentTypeVersion="8" ma:contentTypeDescription="Create a new document." ma:contentTypeScope="" ma:versionID="45abbdcd9965cfb14e32bd96e311a0ec">
  <xsd:schema xmlns:xsd="http://www.w3.org/2001/XMLSchema" xmlns:xs="http://www.w3.org/2001/XMLSchema" xmlns:p="http://schemas.microsoft.com/office/2006/metadata/properties" xmlns:ns1="http://schemas.microsoft.com/sharepoint/v3" xmlns:ns2="814dcef0-7c15-4fc4-b0d9-1b6581b1bea8" targetNamespace="http://schemas.microsoft.com/office/2006/metadata/properties" ma:root="true" ma:fieldsID="612d254335dde5f9d5a0dd1a21bbd60f" ns1:_="" ns2:_="">
    <xsd:import namespace="http://schemas.microsoft.com/sharepoint/v3"/>
    <xsd:import namespace="814dcef0-7c15-4fc4-b0d9-1b6581b1be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4dcef0-7c15-4fc4-b0d9-1b6581b1b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9B6C0B-86E8-45F2-8CBA-A87AE7507354}">
  <ds:schemaRefs>
    <ds:schemaRef ds:uri="http://schemas.microsoft.com/office/2006/metadata/properties"/>
    <ds:schemaRef ds:uri="http://schemas.microsoft.com/office/infopath/2007/PartnerControls"/>
    <ds:schemaRef ds:uri="http://schemas.microsoft.com/sharepoint/v3"/>
    <ds:schemaRef ds:uri="bade567d-aaa0-4c25-b66c-107a86b94e0e"/>
    <ds:schemaRef ds:uri="ac9957ec-0e1b-4d3a-a814-8fbf9edb18db"/>
  </ds:schemaRefs>
</ds:datastoreItem>
</file>

<file path=customXml/itemProps2.xml><?xml version="1.0" encoding="utf-8"?>
<ds:datastoreItem xmlns:ds="http://schemas.openxmlformats.org/officeDocument/2006/customXml" ds:itemID="{9C79A4D5-E9C8-47FA-98C3-7DA8C28E1BBD}"/>
</file>

<file path=customXml/itemProps3.xml><?xml version="1.0" encoding="utf-8"?>
<ds:datastoreItem xmlns:ds="http://schemas.openxmlformats.org/officeDocument/2006/customXml" ds:itemID="{42EFB203-7AC6-4CC4-8378-54CBB09B32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8</vt:i4>
      </vt:variant>
    </vt:vector>
  </HeadingPairs>
  <TitlesOfParts>
    <vt:vector size="28" baseType="lpstr">
      <vt:lpstr>Lookups</vt:lpstr>
      <vt:lpstr>Instructions</vt:lpstr>
      <vt:lpstr>WA Exh 1 - Experience Data</vt:lpstr>
      <vt:lpstr>WA Exh 2 - Actual vs. Expected</vt:lpstr>
      <vt:lpstr>WA Exh 3 - Trend Analysis</vt:lpstr>
      <vt:lpstr>WA Exh 3 - Example</vt:lpstr>
      <vt:lpstr>Service MixIntensity_Example</vt:lpstr>
      <vt:lpstr>WA Exh 4 - Normalized Trend</vt:lpstr>
      <vt:lpstr>WA Exh 4 - Example</vt:lpstr>
      <vt:lpstr>WA Exh 5 - w1 Pool Factors</vt:lpstr>
      <vt:lpstr>WA Exh 6 - Actuarial Values</vt:lpstr>
      <vt:lpstr>WA Exh 6 - Example</vt:lpstr>
      <vt:lpstr>WA Exh 7 - w2AggregateFactors</vt:lpstr>
      <vt:lpstr>WA Exh 8 - CSR Experience</vt:lpstr>
      <vt:lpstr>WA Exh 8 - Example</vt:lpstr>
      <vt:lpstr>WA Exh 9 - AV and Cost-Share</vt:lpstr>
      <vt:lpstr>WA Exh 9 - example</vt:lpstr>
      <vt:lpstr>WA Exh 10 - Risk Adjustment</vt:lpstr>
      <vt:lpstr>WA Exh 11 - Retention</vt:lpstr>
      <vt:lpstr>WA Exh 12 - w2 Proj Recon</vt:lpstr>
      <vt:lpstr>CarrierName</vt:lpstr>
      <vt:lpstr>ExperYear</vt:lpstr>
      <vt:lpstr>Market</vt:lpstr>
      <vt:lpstr>Market_List</vt:lpstr>
      <vt:lpstr>PlanYear</vt:lpstr>
      <vt:lpstr>'WA Exh 2 - Actual vs. Expected'!Print_Area</vt:lpstr>
      <vt:lpstr>'WA Exh 4 - Example'!Print_Area</vt:lpstr>
      <vt:lpstr>'WA Exh 4 - Normalized Trend'!Print_Area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Patterson, Rocky (OIC)</dc:creator>
  <cp:keywords/>
  <dc:description/>
  <cp:lastModifiedBy>Peach, Amy (OIC)</cp:lastModifiedBy>
  <cp:revision/>
  <dcterms:created xsi:type="dcterms:W3CDTF">2015-06-05T18:17:20Z</dcterms:created>
  <dcterms:modified xsi:type="dcterms:W3CDTF">2025-04-03T20:10:20Z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0x01010018E28DEBE00B7941905D5370756A9BBA</vt:lpwstr>
  </property>
  <property fmtid="{D5CDD505-2E9C-101B-9397-08002B2CF9AE}" pid="3" name="MediaServiceImageTags">
    <vt:lpwstr/>
  </property>
</Properties>
</file>